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sempra-my.sharepoint.com/personal/wsaxe_semprautilities_com/Documents/documents/Data Requests/FEA/Workpaper Main Source Files/"/>
    </mc:Choice>
  </mc:AlternateContent>
  <xr:revisionPtr revIDLastSave="0" documentId="14_{79935A74-DBCA-4FC0-A6E7-E519E3B5DD86}" xr6:coauthVersionLast="41" xr6:coauthVersionMax="41" xr10:uidLastSave="{00000000-0000-0000-0000-000000000000}"/>
  <bookViews>
    <workbookView xWindow="-120" yWindow="-120" windowWidth="29040" windowHeight="15840" tabRatio="805" activeTab="47" xr2:uid="{00000000-000D-0000-FFFF-FFFF00000000}"/>
  </bookViews>
  <sheets>
    <sheet name="Tab Descriptions" sheetId="226" r:id="rId1"/>
    <sheet name="Marg Cust Cost Summary" sheetId="120" r:id="rId2"/>
    <sheet name="Marg Cust Cost by Rate Schedule" sheetId="143" r:id="rId3"/>
    <sheet name="Inputs" sheetId="80" r:id="rId4"/>
    <sheet name="School Class TSM Summary " sheetId="242" r:id="rId5"/>
    <sheet name="School Class Cust Cost Summary" sheetId="243" r:id="rId6"/>
    <sheet name="Resid Cust Fcst " sheetId="64" r:id="rId7"/>
    <sheet name="Resid TSM UC" sheetId="235" r:id="rId8"/>
    <sheet name="Resid TSM UC Adj" sheetId="164" r:id="rId9"/>
    <sheet name="Resid TSM Summary" sheetId="33" r:id="rId10"/>
    <sheet name="Resid TSM Sum by Rate Schedule" sheetId="42" r:id="rId11"/>
    <sheet name="Resid Cust Cost Summary" sheetId="196" r:id="rId12"/>
    <sheet name="Sch DR TSM" sheetId="165" r:id="rId13"/>
    <sheet name="Sm Comm Cust Fcst" sheetId="8" r:id="rId14"/>
    <sheet name="Small Comm TSM Summary" sheetId="224" r:id="rId15"/>
    <sheet name="Small Comm Cust Cost Summary" sheetId="225" r:id="rId16"/>
    <sheet name="Sch TOU-A TSM" sheetId="232" r:id="rId17"/>
    <sheet name="Sch TOU-A TSM Summary" sheetId="233" r:id="rId18"/>
    <sheet name="Sch TOU-A Cust Cost Summary" sheetId="234" r:id="rId19"/>
    <sheet name="Sch A-TOU TSM" sheetId="162" r:id="rId20"/>
    <sheet name="Sch A-TOU TSM Summary" sheetId="175" r:id="rId21"/>
    <sheet name="Sch A-TOU Cust Cost Summary" sheetId="199" r:id="rId22"/>
    <sheet name="M-L C&amp;I TSM Summary" sheetId="221" r:id="rId23"/>
    <sheet name="M-L C&amp;I Cust Cost Summary " sheetId="222" r:id="rId24"/>
    <sheet name="Sch OL-TOU Cust Fcst" sheetId="151" r:id="rId25"/>
    <sheet name="Sch OL-TOU TSM" sheetId="160" r:id="rId26"/>
    <sheet name="Sch OL-TOU TSM Summary" sheetId="190" r:id="rId27"/>
    <sheet name="Sch OL-TOU Cust Cost Summary" sheetId="189" r:id="rId28"/>
    <sheet name="Sch AL-TOU Cust Fcst" sheetId="157" r:id="rId29"/>
    <sheet name="Sch AL-TOU TSM" sheetId="159" r:id="rId30"/>
    <sheet name="Sch AL-TOU TSM Summary" sheetId="191" r:id="rId31"/>
    <sheet name="Sch AL-TOU Cust Cost Summary" sheetId="192" r:id="rId32"/>
    <sheet name="Sch DG-R Cust Fcst" sheetId="96" r:id="rId33"/>
    <sheet name="Sch DG-R TSM" sheetId="156" r:id="rId34"/>
    <sheet name="Sch DG-R TSM Summary" sheetId="187" r:id="rId35"/>
    <sheet name="Sch DG-R Cust Cost Summary" sheetId="194" r:id="rId36"/>
    <sheet name="Sch A6-TOU Cust Fcst " sheetId="19" r:id="rId37"/>
    <sheet name="Sch A6-TOU TSM" sheetId="41" r:id="rId38"/>
    <sheet name="Sch A6-TOU TSM Summary" sheetId="193" r:id="rId39"/>
    <sheet name="Sch A6-TOU Cust Cost Summary" sheetId="184" r:id="rId40"/>
    <sheet name="Agric TSM Summary" sheetId="223" r:id="rId41"/>
    <sheet name="Agric Cust Cost Summary" sheetId="220" r:id="rId42"/>
    <sheet name="Sch TOU-PA Cust Fcst" sheetId="227" r:id="rId43"/>
    <sheet name="Sch TOU-PA TSM" sheetId="228" r:id="rId44"/>
    <sheet name="Sch TOU-PA TSM Summary" sheetId="229" r:id="rId45"/>
    <sheet name="Sch TOU-PA Cust Cost Summary" sheetId="230" r:id="rId46"/>
    <sheet name="Street Light Cust Cost Summary" sheetId="217" r:id="rId47"/>
    <sheet name="Non-Residential TSM UC" sheetId="236" r:id="rId48"/>
    <sheet name="Non-Residential TSM UC Adj" sheetId="79" r:id="rId49"/>
    <sheet name="Total Customers" sheetId="50" r:id="rId50"/>
    <sheet name="TSM Cap Cost Allocations" sheetId="244" r:id="rId51"/>
    <sheet name="Distribution O&amp;M Allocations" sheetId="245" r:id="rId52"/>
  </sheets>
  <definedNames>
    <definedName name="_xlnm.Print_Area" localSheetId="41">'Agric Cust Cost Summary'!$A$1:$J$35</definedName>
    <definedName name="_xlnm.Print_Area" localSheetId="40">'Agric TSM Summary'!$A$1:$J$33</definedName>
    <definedName name="_xlnm.Print_Area" localSheetId="51">'Distribution O&amp;M Allocations'!$A$1:$AH$39</definedName>
    <definedName name="_xlnm.Print_Area" localSheetId="2">'Marg Cust Cost by Rate Schedule'!$A$1:$R$78</definedName>
    <definedName name="_xlnm.Print_Area" localSheetId="1">'Marg Cust Cost Summary'!$A$1:$D$59</definedName>
    <definedName name="_xlnm.Print_Area" localSheetId="23">'M-L C&amp;I Cust Cost Summary '!$A$1:$Q$35</definedName>
    <definedName name="_xlnm.Print_Area" localSheetId="22">'M-L C&amp;I TSM Summary'!$A$1:$Q$33</definedName>
    <definedName name="_xlnm.Print_Area" localSheetId="47">'Non-Residential TSM UC'!$A$1:$Y$42</definedName>
    <definedName name="_xlnm.Print_Area" localSheetId="48">'Non-Residential TSM UC Adj'!$A$1:$Y$42</definedName>
    <definedName name="_xlnm.Print_Area" localSheetId="11">'Resid Cust Cost Summary'!$A$1:$L$37</definedName>
    <definedName name="_xlnm.Print_Area" localSheetId="6">'Resid Cust Fcst '!$A$1:$BZ$44</definedName>
    <definedName name="_xlnm.Print_Area" localSheetId="10">'Resid TSM Sum by Rate Schedule'!$A$1:$L$35</definedName>
    <definedName name="_xlnm.Print_Area" localSheetId="9">'Resid TSM Summary'!$A$1:$M$40</definedName>
    <definedName name="_xlnm.Print_Area" localSheetId="7">'Resid TSM UC'!$A$1:$U$42</definedName>
    <definedName name="_xlnm.Print_Area" localSheetId="8">'Resid TSM UC Adj'!$A$1:$U$42</definedName>
    <definedName name="_xlnm.Print_Area" localSheetId="39">'Sch A6-TOU Cust Cost Summary'!$A$1:$M$35</definedName>
    <definedName name="_xlnm.Print_Area" localSheetId="36">'Sch A6-TOU Cust Fcst '!$A$1:$D$45</definedName>
    <definedName name="_xlnm.Print_Area" localSheetId="37">'Sch A6-TOU TSM'!$A$1:$M$41</definedName>
    <definedName name="_xlnm.Print_Area" localSheetId="38">'Sch A6-TOU TSM Summary'!$A$1:$M$33</definedName>
    <definedName name="_xlnm.Print_Area" localSheetId="31">'Sch AL-TOU Cust Cost Summary'!$A$1:$Q$35</definedName>
    <definedName name="_xlnm.Print_Area" localSheetId="28">'Sch AL-TOU Cust Fcst'!$A$1:$I$45</definedName>
    <definedName name="_xlnm.Print_Area" localSheetId="29">'Sch AL-TOU TSM'!$A$1:$AG$42</definedName>
    <definedName name="_xlnm.Print_Area" localSheetId="30">'Sch AL-TOU TSM Summary'!$A$1:$Q$33</definedName>
    <definedName name="_xlnm.Print_Area" localSheetId="21">'Sch A-TOU Cust Cost Summary'!$A$1:$F$37</definedName>
    <definedName name="_xlnm.Print_Area" localSheetId="19">'Sch A-TOU TSM'!$A$1:$U$44</definedName>
    <definedName name="_xlnm.Print_Area" localSheetId="20">'Sch A-TOU TSM Summary'!$A$1:$F$35</definedName>
    <definedName name="_xlnm.Print_Area" localSheetId="35">'Sch DG-R Cust Cost Summary'!$A$1:$M$35</definedName>
    <definedName name="_xlnm.Print_Area" localSheetId="32">'Sch DG-R Cust Fcst'!$A$1:$H$45</definedName>
    <definedName name="_xlnm.Print_Area" localSheetId="33">'Sch DG-R TSM'!$A$1:$AC$42</definedName>
    <definedName name="_xlnm.Print_Area" localSheetId="34">'Sch DG-R TSM Summary'!$A$1:$M$33</definedName>
    <definedName name="_xlnm.Print_Area" localSheetId="12">'Sch DR TSM'!$A$1:$AC$39</definedName>
    <definedName name="_xlnm.Print_Area" localSheetId="27">'Sch OL-TOU Cust Cost Summary'!$A$1:$E$35</definedName>
    <definedName name="_xlnm.Print_Area" localSheetId="24">'Sch OL-TOU Cust Fcst'!$A$1:$H$45</definedName>
    <definedName name="_xlnm.Print_Area" localSheetId="25">'Sch OL-TOU TSM'!$A$1:$U$42</definedName>
    <definedName name="_xlnm.Print_Area" localSheetId="26">'Sch OL-TOU TSM Summary'!$A$1:$E$33</definedName>
    <definedName name="_xlnm.Print_Area" localSheetId="18">'Sch TOU-A Cust Cost Summary'!$A$1:$P$37</definedName>
    <definedName name="_xlnm.Print_Area" localSheetId="16">'Sch TOU-A TSM'!$A$1:$AC$44</definedName>
    <definedName name="_xlnm.Print_Area" localSheetId="17">'Sch TOU-A TSM Summary'!$A$1:$P$35</definedName>
    <definedName name="_xlnm.Print_Area" localSheetId="45">'Sch TOU-PA Cust Cost Summary'!$A$1:$J$35</definedName>
    <definedName name="_xlnm.Print_Area" localSheetId="42">'Sch TOU-PA Cust Fcst'!$A$1:$H$44</definedName>
    <definedName name="_xlnm.Print_Area" localSheetId="43">'Sch TOU-PA TSM'!$A$1:$AC$41</definedName>
    <definedName name="_xlnm.Print_Area" localSheetId="44">'Sch TOU-PA TSM Summary'!$A$1:$J$33</definedName>
    <definedName name="_xlnm.Print_Area" localSheetId="5">'School Class Cust Cost Summary'!$A$1:$J$35</definedName>
    <definedName name="_xlnm.Print_Area" localSheetId="4">'School Class TSM Summary '!$A$1:$J$33</definedName>
    <definedName name="_xlnm.Print_Area" localSheetId="13">'Sm Comm Cust Fcst'!$A$1:$AJ$49</definedName>
    <definedName name="_xlnm.Print_Area" localSheetId="15">'Small Comm Cust Cost Summary'!$A$1:$P$36</definedName>
    <definedName name="_xlnm.Print_Area" localSheetId="14">'Small Comm TSM Summary'!$A$1:$P$34</definedName>
    <definedName name="_xlnm.Print_Area" localSheetId="46">'Street Light Cust Cost Summary'!$A$1:$B$47</definedName>
    <definedName name="_xlnm.Print_Area" localSheetId="0">'Tab Descriptions'!$A$1:$D$70</definedName>
    <definedName name="_xlnm.Print_Area" localSheetId="49">'Total Customers'!$A$1:$AL$44</definedName>
    <definedName name="_xlnm.Print_Area" localSheetId="50">'TSM Cap Cost Allocations'!$A$1:$K$36</definedName>
    <definedName name="_xlnm.Print_Titles" localSheetId="51">'Distribution O&amp;M Allocations'!$A:$A</definedName>
    <definedName name="_xlnm.Print_Titles" localSheetId="23">'M-L C&amp;I Cust Cost Summary '!$A:$A</definedName>
    <definedName name="_xlnm.Print_Titles" localSheetId="22">'M-L C&amp;I TSM Summary'!$A:$A</definedName>
    <definedName name="_xlnm.Print_Titles" localSheetId="47">'Non-Residential TSM UC'!$A:$A</definedName>
    <definedName name="_xlnm.Print_Titles" localSheetId="48">'Non-Residential TSM UC Adj'!$A:$A</definedName>
    <definedName name="_xlnm.Print_Titles" localSheetId="6">'Resid Cust Fcst '!$A:$A</definedName>
    <definedName name="_xlnm.Print_Titles" localSheetId="7">'Resid TSM UC'!$A:$A</definedName>
    <definedName name="_xlnm.Print_Titles" localSheetId="8">'Resid TSM UC Adj'!$A:$A</definedName>
    <definedName name="_xlnm.Print_Titles" localSheetId="31">'Sch AL-TOU Cust Cost Summary'!$A:$A</definedName>
    <definedName name="_xlnm.Print_Titles" localSheetId="29">'Sch AL-TOU TSM'!$A:$A</definedName>
    <definedName name="_xlnm.Print_Titles" localSheetId="33">'Sch DG-R TSM'!$A:$A</definedName>
    <definedName name="_xlnm.Print_Titles" localSheetId="12">'Sch DR TSM'!$A:$A</definedName>
    <definedName name="_xlnm.Print_Titles" localSheetId="16">'Sch TOU-A TSM'!$A:$A</definedName>
    <definedName name="_xlnm.Print_Titles" localSheetId="13">'Sm Comm Cust Fcst'!$A:$A</definedName>
    <definedName name="_xlnm.Print_Titles" localSheetId="49">'Total Customers'!$A:$A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0" i="235" l="1"/>
  <c r="Q30" i="235"/>
  <c r="O29" i="79" l="1"/>
  <c r="O28" i="79"/>
  <c r="O27" i="79"/>
  <c r="O26" i="79"/>
  <c r="O25" i="79"/>
  <c r="O24" i="79"/>
  <c r="O23" i="79"/>
  <c r="O22" i="79"/>
  <c r="O21" i="79"/>
  <c r="O20" i="79"/>
  <c r="O19" i="79"/>
  <c r="O18" i="79"/>
  <c r="O17" i="79"/>
  <c r="O16" i="79"/>
  <c r="O15" i="79"/>
  <c r="O14" i="79"/>
  <c r="O13" i="79"/>
  <c r="O12" i="79"/>
  <c r="O11" i="79"/>
  <c r="O10" i="79"/>
  <c r="O9" i="79"/>
  <c r="O8" i="79"/>
  <c r="O7" i="79"/>
  <c r="K28" i="79"/>
  <c r="K27" i="79"/>
  <c r="K26" i="79"/>
  <c r="K25" i="79"/>
  <c r="K24" i="79"/>
  <c r="K23" i="79"/>
  <c r="K22" i="79"/>
  <c r="K21" i="79"/>
  <c r="K20" i="79"/>
  <c r="K19" i="79"/>
  <c r="K18" i="79"/>
  <c r="K17" i="79"/>
  <c r="K16" i="79"/>
  <c r="K15" i="79"/>
  <c r="K14" i="79"/>
  <c r="K13" i="79"/>
  <c r="K12" i="79"/>
  <c r="K11" i="79"/>
  <c r="K10" i="79"/>
  <c r="K9" i="79"/>
  <c r="K8" i="79"/>
  <c r="K7" i="79"/>
  <c r="G17" i="79"/>
  <c r="G16" i="79"/>
  <c r="G15" i="79"/>
  <c r="G14" i="79"/>
  <c r="G13" i="79"/>
  <c r="G12" i="79"/>
  <c r="G11" i="79"/>
  <c r="G10" i="79"/>
  <c r="G9" i="79"/>
  <c r="G8" i="79"/>
  <c r="G7" i="79"/>
  <c r="X37" i="79"/>
  <c r="X36" i="79"/>
  <c r="X35" i="79"/>
  <c r="X34" i="79"/>
  <c r="X33" i="79"/>
  <c r="X32" i="79"/>
  <c r="X31" i="79"/>
  <c r="X30" i="79"/>
  <c r="X29" i="79"/>
  <c r="X28" i="79"/>
  <c r="X27" i="79"/>
  <c r="X26" i="79"/>
  <c r="X25" i="79"/>
  <c r="X24" i="79"/>
  <c r="X23" i="79"/>
  <c r="X22" i="79"/>
  <c r="X21" i="79"/>
  <c r="X20" i="79"/>
  <c r="X19" i="79"/>
  <c r="X18" i="79"/>
  <c r="X17" i="79"/>
  <c r="X16" i="79"/>
  <c r="X15" i="79"/>
  <c r="X14" i="79"/>
  <c r="X13" i="79"/>
  <c r="X12" i="79"/>
  <c r="X11" i="79"/>
  <c r="X10" i="79"/>
  <c r="X9" i="79"/>
  <c r="X8" i="79"/>
  <c r="X7" i="79"/>
  <c r="T37" i="79"/>
  <c r="T36" i="79"/>
  <c r="T35" i="79"/>
  <c r="T34" i="79"/>
  <c r="T33" i="79"/>
  <c r="T32" i="79"/>
  <c r="T31" i="79"/>
  <c r="T30" i="79"/>
  <c r="T29" i="79"/>
  <c r="T28" i="79"/>
  <c r="T27" i="79"/>
  <c r="T26" i="79"/>
  <c r="T25" i="79"/>
  <c r="T24" i="79"/>
  <c r="T23" i="79"/>
  <c r="T22" i="79"/>
  <c r="T21" i="79"/>
  <c r="T20" i="79"/>
  <c r="T19" i="79"/>
  <c r="T18" i="79"/>
  <c r="T17" i="79"/>
  <c r="T16" i="79"/>
  <c r="T15" i="79"/>
  <c r="T14" i="79"/>
  <c r="T13" i="79"/>
  <c r="T12" i="79"/>
  <c r="T11" i="79"/>
  <c r="T10" i="79"/>
  <c r="T9" i="79"/>
  <c r="T8" i="79"/>
  <c r="T7" i="79"/>
  <c r="P29" i="79"/>
  <c r="P28" i="79"/>
  <c r="P27" i="79"/>
  <c r="P26" i="79"/>
  <c r="P25" i="79"/>
  <c r="P24" i="79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9" i="79"/>
  <c r="P8" i="79"/>
  <c r="P7" i="79"/>
  <c r="L28" i="79"/>
  <c r="L27" i="79"/>
  <c r="L26" i="79"/>
  <c r="L25" i="79"/>
  <c r="L24" i="79"/>
  <c r="L23" i="79"/>
  <c r="L22" i="79"/>
  <c r="L21" i="79"/>
  <c r="L20" i="79"/>
  <c r="L19" i="79"/>
  <c r="L18" i="79"/>
  <c r="L17" i="79"/>
  <c r="L16" i="79"/>
  <c r="L15" i="79"/>
  <c r="L14" i="79"/>
  <c r="L13" i="79"/>
  <c r="L12" i="79"/>
  <c r="L11" i="79"/>
  <c r="L10" i="79"/>
  <c r="L9" i="79"/>
  <c r="L8" i="79"/>
  <c r="L7" i="79"/>
  <c r="H17" i="79"/>
  <c r="H16" i="79"/>
  <c r="H15" i="79"/>
  <c r="H14" i="79"/>
  <c r="H13" i="79"/>
  <c r="H12" i="79"/>
  <c r="H11" i="79"/>
  <c r="H10" i="79"/>
  <c r="H9" i="79"/>
  <c r="H8" i="79"/>
  <c r="H7" i="79"/>
  <c r="D16" i="79"/>
  <c r="D15" i="79"/>
  <c r="D14" i="79"/>
  <c r="D13" i="79"/>
  <c r="D12" i="79"/>
  <c r="D11" i="79"/>
  <c r="D10" i="79"/>
  <c r="D9" i="79"/>
  <c r="D8" i="79"/>
  <c r="D7" i="79"/>
  <c r="C16" i="79"/>
  <c r="C15" i="79"/>
  <c r="C14" i="79"/>
  <c r="C13" i="79"/>
  <c r="C12" i="79"/>
  <c r="C11" i="79"/>
  <c r="C10" i="79"/>
  <c r="C9" i="79"/>
  <c r="C8" i="79"/>
  <c r="C7" i="79"/>
  <c r="N29" i="79"/>
  <c r="N28" i="79"/>
  <c r="N27" i="79"/>
  <c r="N26" i="79"/>
  <c r="N25" i="79"/>
  <c r="N24" i="79"/>
  <c r="N23" i="79"/>
  <c r="N22" i="79"/>
  <c r="N21" i="79"/>
  <c r="N20" i="79"/>
  <c r="N19" i="79"/>
  <c r="N18" i="79"/>
  <c r="N17" i="79"/>
  <c r="N16" i="79"/>
  <c r="N15" i="79"/>
  <c r="N14" i="79"/>
  <c r="N13" i="79"/>
  <c r="N12" i="79"/>
  <c r="N11" i="79"/>
  <c r="N10" i="79"/>
  <c r="N9" i="79"/>
  <c r="N8" i="79"/>
  <c r="N7" i="79"/>
  <c r="J28" i="79"/>
  <c r="J27" i="79"/>
  <c r="J26" i="79"/>
  <c r="J25" i="79"/>
  <c r="J24" i="79"/>
  <c r="J23" i="79"/>
  <c r="J22" i="79"/>
  <c r="J21" i="79"/>
  <c r="J20" i="79"/>
  <c r="J19" i="79"/>
  <c r="J18" i="79"/>
  <c r="J17" i="79"/>
  <c r="J16" i="79"/>
  <c r="J15" i="79"/>
  <c r="J14" i="79"/>
  <c r="J13" i="79"/>
  <c r="J12" i="79"/>
  <c r="J11" i="79"/>
  <c r="J10" i="79"/>
  <c r="J9" i="79"/>
  <c r="J8" i="79"/>
  <c r="J7" i="79"/>
  <c r="F17" i="79"/>
  <c r="F16" i="79"/>
  <c r="F15" i="79"/>
  <c r="F14" i="79"/>
  <c r="F13" i="79"/>
  <c r="F12" i="79"/>
  <c r="F11" i="79"/>
  <c r="F10" i="79"/>
  <c r="F9" i="79"/>
  <c r="F8" i="79"/>
  <c r="F7" i="79"/>
  <c r="B16" i="79"/>
  <c r="B15" i="79"/>
  <c r="B14" i="79"/>
  <c r="B13" i="79"/>
  <c r="B12" i="79"/>
  <c r="B11" i="79"/>
  <c r="B10" i="79"/>
  <c r="B9" i="79"/>
  <c r="B8" i="79"/>
  <c r="B7" i="79"/>
  <c r="W7" i="79" l="1"/>
  <c r="S7" i="79"/>
  <c r="W11" i="79"/>
  <c r="S11" i="79"/>
  <c r="W15" i="79"/>
  <c r="S15" i="79"/>
  <c r="W19" i="79"/>
  <c r="S19" i="79"/>
  <c r="W23" i="79"/>
  <c r="S23" i="79"/>
  <c r="W27" i="79"/>
  <c r="S27" i="79"/>
  <c r="W31" i="79"/>
  <c r="S31" i="79"/>
  <c r="W35" i="79"/>
  <c r="S35" i="79"/>
  <c r="W8" i="79"/>
  <c r="S8" i="79"/>
  <c r="W12" i="79"/>
  <c r="S12" i="79"/>
  <c r="W16" i="79"/>
  <c r="S16" i="79"/>
  <c r="W20" i="79"/>
  <c r="S20" i="79"/>
  <c r="W24" i="79"/>
  <c r="S24" i="79"/>
  <c r="W28" i="79"/>
  <c r="S28" i="79"/>
  <c r="W32" i="79"/>
  <c r="S32" i="79"/>
  <c r="W36" i="79"/>
  <c r="S36" i="79"/>
  <c r="W9" i="79"/>
  <c r="S9" i="79"/>
  <c r="W13" i="79"/>
  <c r="S13" i="79"/>
  <c r="W17" i="79"/>
  <c r="S17" i="79"/>
  <c r="W21" i="79"/>
  <c r="S21" i="79"/>
  <c r="W25" i="79"/>
  <c r="S25" i="79"/>
  <c r="W29" i="79"/>
  <c r="S29" i="79"/>
  <c r="W33" i="79"/>
  <c r="S33" i="79"/>
  <c r="W37" i="79"/>
  <c r="S37" i="79"/>
  <c r="W10" i="79"/>
  <c r="S10" i="79"/>
  <c r="W14" i="79"/>
  <c r="S14" i="79"/>
  <c r="W18" i="79"/>
  <c r="S18" i="79"/>
  <c r="W22" i="79"/>
  <c r="S22" i="79"/>
  <c r="W26" i="79"/>
  <c r="S26" i="79"/>
  <c r="W30" i="79"/>
  <c r="S30" i="79"/>
  <c r="W34" i="79"/>
  <c r="S34" i="79"/>
  <c r="AF38" i="50" l="1"/>
  <c r="F7" i="157" l="1"/>
  <c r="I7" i="157" s="1"/>
  <c r="F93" i="143"/>
  <c r="F95" i="143" s="1"/>
  <c r="E93" i="143"/>
  <c r="E95" i="143" s="1"/>
  <c r="D93" i="143"/>
  <c r="D95" i="143" s="1"/>
  <c r="C93" i="143"/>
  <c r="C95" i="143" s="1"/>
  <c r="B93" i="143"/>
  <c r="B95" i="143" s="1"/>
  <c r="F90" i="143"/>
  <c r="E90" i="143"/>
  <c r="D90" i="143"/>
  <c r="C90" i="143"/>
  <c r="B90" i="143"/>
  <c r="F86" i="143"/>
  <c r="F84" i="143"/>
  <c r="E84" i="143"/>
  <c r="E86" i="143" s="1"/>
  <c r="D84" i="143"/>
  <c r="D86" i="143" s="1"/>
  <c r="C84" i="143"/>
  <c r="C86" i="143" s="1"/>
  <c r="A3" i="120" l="1"/>
  <c r="A15" i="243" l="1"/>
  <c r="A15" i="242"/>
  <c r="A17" i="243"/>
  <c r="A17" i="242"/>
  <c r="V88" i="143"/>
  <c r="V98" i="143" l="1"/>
  <c r="H24" i="96"/>
  <c r="F22" i="96"/>
  <c r="F12" i="96"/>
  <c r="F11" i="64"/>
  <c r="H11" i="64" s="1"/>
  <c r="H12" i="96" l="1"/>
  <c r="H22" i="96"/>
  <c r="F11" i="96"/>
  <c r="H11" i="96" l="1"/>
  <c r="F29" i="228"/>
  <c r="G29" i="228"/>
  <c r="H29" i="228"/>
  <c r="F30" i="228"/>
  <c r="G30" i="228"/>
  <c r="H30" i="228"/>
  <c r="F31" i="228"/>
  <c r="G31" i="228"/>
  <c r="H31" i="228"/>
  <c r="F32" i="228"/>
  <c r="G32" i="228"/>
  <c r="H32" i="228"/>
  <c r="F33" i="228"/>
  <c r="G33" i="228"/>
  <c r="H33" i="228"/>
  <c r="F34" i="228"/>
  <c r="G34" i="228"/>
  <c r="H34" i="228"/>
  <c r="F35" i="228"/>
  <c r="G35" i="228"/>
  <c r="H35" i="228"/>
  <c r="F36" i="228"/>
  <c r="G36" i="228"/>
  <c r="H36" i="228"/>
  <c r="F37" i="228"/>
  <c r="G37" i="228"/>
  <c r="H37" i="228"/>
  <c r="B29" i="228"/>
  <c r="C29" i="228"/>
  <c r="D29" i="228"/>
  <c r="B30" i="228"/>
  <c r="C30" i="228"/>
  <c r="D30" i="228"/>
  <c r="B31" i="228"/>
  <c r="C31" i="228"/>
  <c r="D31" i="228"/>
  <c r="B32" i="228"/>
  <c r="C32" i="228"/>
  <c r="D32" i="228"/>
  <c r="B33" i="228"/>
  <c r="C33" i="228"/>
  <c r="D33" i="228"/>
  <c r="B34" i="228"/>
  <c r="C34" i="228"/>
  <c r="D34" i="228"/>
  <c r="B35" i="228"/>
  <c r="C35" i="228"/>
  <c r="D35" i="228"/>
  <c r="B36" i="228"/>
  <c r="C36" i="228"/>
  <c r="D36" i="228"/>
  <c r="B37" i="228"/>
  <c r="C37" i="228"/>
  <c r="D37" i="228"/>
  <c r="B29" i="156"/>
  <c r="C29" i="156"/>
  <c r="D29" i="156"/>
  <c r="B30" i="156"/>
  <c r="C30" i="156"/>
  <c r="D30" i="156"/>
  <c r="B31" i="156"/>
  <c r="C31" i="156"/>
  <c r="D31" i="156"/>
  <c r="B32" i="156"/>
  <c r="C32" i="156"/>
  <c r="D32" i="156"/>
  <c r="B33" i="156"/>
  <c r="C33" i="156"/>
  <c r="D33" i="156"/>
  <c r="B34" i="156"/>
  <c r="C34" i="156"/>
  <c r="D34" i="156"/>
  <c r="B35" i="156"/>
  <c r="C35" i="156"/>
  <c r="C42" i="156" s="1"/>
  <c r="D35" i="156"/>
  <c r="B36" i="156"/>
  <c r="C36" i="156"/>
  <c r="D36" i="156"/>
  <c r="B37" i="156"/>
  <c r="E37" i="156" s="1"/>
  <c r="C37" i="156"/>
  <c r="D37" i="156"/>
  <c r="F30" i="232"/>
  <c r="G30" i="232"/>
  <c r="H30" i="232"/>
  <c r="F31" i="232"/>
  <c r="G31" i="232"/>
  <c r="H31" i="232"/>
  <c r="F32" i="232"/>
  <c r="G32" i="232"/>
  <c r="H32" i="232"/>
  <c r="F33" i="232"/>
  <c r="G33" i="232"/>
  <c r="H33" i="232"/>
  <c r="F34" i="232"/>
  <c r="G34" i="232"/>
  <c r="H34" i="232"/>
  <c r="F35" i="232"/>
  <c r="G35" i="232"/>
  <c r="H35" i="232"/>
  <c r="F36" i="232"/>
  <c r="G36" i="232"/>
  <c r="H36" i="232"/>
  <c r="F37" i="232"/>
  <c r="G37" i="232"/>
  <c r="H37" i="232"/>
  <c r="F38" i="232"/>
  <c r="G38" i="232"/>
  <c r="H38" i="232"/>
  <c r="B30" i="232"/>
  <c r="C30" i="232"/>
  <c r="D30" i="232"/>
  <c r="B31" i="232"/>
  <c r="C31" i="232"/>
  <c r="D31" i="232"/>
  <c r="B32" i="232"/>
  <c r="C32" i="232"/>
  <c r="D32" i="232"/>
  <c r="B33" i="232"/>
  <c r="C33" i="232"/>
  <c r="D33" i="232"/>
  <c r="B34" i="232"/>
  <c r="C34" i="232"/>
  <c r="D34" i="232"/>
  <c r="B35" i="232"/>
  <c r="C35" i="232"/>
  <c r="D35" i="232"/>
  <c r="B36" i="232"/>
  <c r="C36" i="232"/>
  <c r="D36" i="232"/>
  <c r="B37" i="232"/>
  <c r="C37" i="232"/>
  <c r="D37" i="232"/>
  <c r="B38" i="232"/>
  <c r="C38" i="232"/>
  <c r="D38" i="232"/>
  <c r="D16" i="164"/>
  <c r="C16" i="164"/>
  <c r="E16" i="235"/>
  <c r="D42" i="156" l="1"/>
  <c r="E32" i="156"/>
  <c r="E34" i="156"/>
  <c r="B42" i="156"/>
  <c r="E42" i="156" s="1"/>
  <c r="E47" i="156" s="1"/>
  <c r="E30" i="156"/>
  <c r="E35" i="156"/>
  <c r="E33" i="156"/>
  <c r="E31" i="156"/>
  <c r="E29" i="156"/>
  <c r="E16" i="236"/>
  <c r="C16" i="165"/>
  <c r="D16" i="165"/>
  <c r="E36" i="156"/>
  <c r="Q30" i="236" l="1"/>
  <c r="Q31" i="236"/>
  <c r="Q34" i="236"/>
  <c r="Q33" i="236" l="1"/>
  <c r="Q32" i="236"/>
  <c r="C16" i="160" l="1"/>
  <c r="C16" i="156"/>
  <c r="C17" i="162"/>
  <c r="C16" i="159"/>
  <c r="B16" i="156"/>
  <c r="B16" i="160"/>
  <c r="E16" i="79"/>
  <c r="B17" i="162"/>
  <c r="B16" i="159"/>
  <c r="D16" i="160"/>
  <c r="D17" i="162"/>
  <c r="D16" i="156"/>
  <c r="D16" i="159"/>
  <c r="E16" i="156" l="1"/>
  <c r="AG7" i="50"/>
  <c r="AK7" i="50" s="1"/>
  <c r="B41" i="96"/>
  <c r="B40" i="96"/>
  <c r="B39" i="96"/>
  <c r="B38" i="96"/>
  <c r="AK39" i="50" l="1"/>
  <c r="A1" i="120"/>
  <c r="A17" i="217" l="1"/>
  <c r="A17" i="230"/>
  <c r="A17" i="229"/>
  <c r="A17" i="220"/>
  <c r="A17" i="223"/>
  <c r="A17" i="184"/>
  <c r="A17" i="193"/>
  <c r="A17" i="194"/>
  <c r="A17" i="187"/>
  <c r="A17" i="192"/>
  <c r="A17" i="191"/>
  <c r="A17" i="189"/>
  <c r="A17" i="190"/>
  <c r="A17" i="222"/>
  <c r="A17" i="221"/>
  <c r="A18" i="199"/>
  <c r="A18" i="175"/>
  <c r="A18" i="234"/>
  <c r="A18" i="233"/>
  <c r="A17" i="42"/>
  <c r="A17" i="225"/>
  <c r="A17" i="224"/>
  <c r="A17" i="196"/>
  <c r="H16" i="156" l="1"/>
  <c r="D15" i="156"/>
  <c r="C14" i="156"/>
  <c r="U13" i="236"/>
  <c r="D11" i="156"/>
  <c r="C10" i="156"/>
  <c r="C20" i="80"/>
  <c r="B16" i="164" s="1"/>
  <c r="T29" i="164"/>
  <c r="U29" i="235"/>
  <c r="P29" i="164"/>
  <c r="P28" i="164"/>
  <c r="L28" i="164"/>
  <c r="T27" i="164"/>
  <c r="P27" i="164"/>
  <c r="L27" i="164"/>
  <c r="T26" i="164"/>
  <c r="P26" i="164"/>
  <c r="L26" i="164"/>
  <c r="T25" i="164"/>
  <c r="P25" i="164"/>
  <c r="L25" i="164"/>
  <c r="P24" i="164"/>
  <c r="L24" i="164"/>
  <c r="T23" i="164"/>
  <c r="P23" i="164"/>
  <c r="L23" i="164"/>
  <c r="T22" i="164"/>
  <c r="P22" i="164"/>
  <c r="L22" i="164"/>
  <c r="T21" i="164"/>
  <c r="P21" i="164"/>
  <c r="L21" i="164"/>
  <c r="P20" i="164"/>
  <c r="L20" i="164"/>
  <c r="T19" i="164"/>
  <c r="P19" i="164"/>
  <c r="L19" i="164"/>
  <c r="T18" i="164"/>
  <c r="P18" i="164"/>
  <c r="L18" i="164"/>
  <c r="T17" i="164"/>
  <c r="P17" i="164"/>
  <c r="L17" i="164"/>
  <c r="H17" i="164"/>
  <c r="T16" i="164"/>
  <c r="P16" i="164"/>
  <c r="L16" i="164"/>
  <c r="H16" i="164"/>
  <c r="T15" i="164"/>
  <c r="P15" i="164"/>
  <c r="L15" i="164"/>
  <c r="H15" i="164"/>
  <c r="D15" i="164"/>
  <c r="C15" i="164"/>
  <c r="T14" i="164"/>
  <c r="P14" i="164"/>
  <c r="L14" i="164"/>
  <c r="H14" i="164"/>
  <c r="D14" i="164"/>
  <c r="C14" i="164"/>
  <c r="T13" i="164"/>
  <c r="P13" i="164"/>
  <c r="L13" i="164"/>
  <c r="H13" i="164"/>
  <c r="D13" i="164"/>
  <c r="C13" i="164"/>
  <c r="T12" i="164"/>
  <c r="P12" i="164"/>
  <c r="L12" i="164"/>
  <c r="H12" i="164"/>
  <c r="D12" i="164"/>
  <c r="T11" i="164"/>
  <c r="P11" i="164"/>
  <c r="L11" i="164"/>
  <c r="H11" i="164"/>
  <c r="D11" i="164"/>
  <c r="C11" i="164"/>
  <c r="T10" i="164"/>
  <c r="P10" i="164"/>
  <c r="L10" i="164"/>
  <c r="H10" i="164"/>
  <c r="D10" i="164"/>
  <c r="C10" i="164"/>
  <c r="T9" i="164"/>
  <c r="P9" i="164"/>
  <c r="L9" i="164"/>
  <c r="H9" i="164"/>
  <c r="D9" i="164"/>
  <c r="C9" i="164"/>
  <c r="T8" i="164"/>
  <c r="P8" i="164"/>
  <c r="L8" i="164"/>
  <c r="H8" i="164"/>
  <c r="D8" i="164"/>
  <c r="T7" i="164"/>
  <c r="P7" i="164"/>
  <c r="L7" i="164"/>
  <c r="H7" i="164"/>
  <c r="D7" i="164"/>
  <c r="C7" i="164"/>
  <c r="E16" i="164" l="1"/>
  <c r="B16" i="165"/>
  <c r="F19" i="228"/>
  <c r="B19" i="156"/>
  <c r="B20" i="232"/>
  <c r="F20" i="232"/>
  <c r="B19" i="228"/>
  <c r="G20" i="228"/>
  <c r="C20" i="156"/>
  <c r="C21" i="232"/>
  <c r="G21" i="232"/>
  <c r="C20" i="228"/>
  <c r="H25" i="228"/>
  <c r="D25" i="156"/>
  <c r="D26" i="232"/>
  <c r="H26" i="232"/>
  <c r="D25" i="228"/>
  <c r="H21" i="228"/>
  <c r="D21" i="156"/>
  <c r="D22" i="232"/>
  <c r="H22" i="232"/>
  <c r="D21" i="228"/>
  <c r="F27" i="228"/>
  <c r="B27" i="156"/>
  <c r="B28" i="232"/>
  <c r="F28" i="232"/>
  <c r="B27" i="228"/>
  <c r="G28" i="228"/>
  <c r="C28" i="156"/>
  <c r="C29" i="232"/>
  <c r="G29" i="232"/>
  <c r="C28" i="228"/>
  <c r="D17" i="228"/>
  <c r="D17" i="156"/>
  <c r="D18" i="232"/>
  <c r="G24" i="228"/>
  <c r="C24" i="156"/>
  <c r="C25" i="232"/>
  <c r="G25" i="232"/>
  <c r="C24" i="228"/>
  <c r="U17" i="235"/>
  <c r="S17" i="164" s="1"/>
  <c r="U21" i="235"/>
  <c r="S21" i="164" s="1"/>
  <c r="M14" i="235"/>
  <c r="J14" i="164" s="1"/>
  <c r="K14" i="164" s="1"/>
  <c r="E15" i="235"/>
  <c r="B15" i="164" s="1"/>
  <c r="M22" i="236"/>
  <c r="Q23" i="236"/>
  <c r="U33" i="236"/>
  <c r="U25" i="236"/>
  <c r="E10" i="236"/>
  <c r="Q20" i="236"/>
  <c r="I13" i="235"/>
  <c r="F13" i="164" s="1"/>
  <c r="G13" i="164" s="1"/>
  <c r="M17" i="235"/>
  <c r="Q18" i="235"/>
  <c r="O18" i="164" s="1"/>
  <c r="Q19" i="235"/>
  <c r="O19" i="164" s="1"/>
  <c r="Q21" i="235"/>
  <c r="O21" i="164" s="1"/>
  <c r="Q11" i="236"/>
  <c r="E7" i="235"/>
  <c r="B7" i="164" s="1"/>
  <c r="U9" i="235"/>
  <c r="S9" i="164" s="1"/>
  <c r="I14" i="235"/>
  <c r="F14" i="164" s="1"/>
  <c r="G14" i="164" s="1"/>
  <c r="Q15" i="235"/>
  <c r="N15" i="164" s="1"/>
  <c r="O15" i="164" s="1"/>
  <c r="I17" i="235"/>
  <c r="G17" i="164" s="1"/>
  <c r="M21" i="235"/>
  <c r="Q22" i="235"/>
  <c r="O22" i="164" s="1"/>
  <c r="Q23" i="235"/>
  <c r="O23" i="164" s="1"/>
  <c r="Q25" i="235"/>
  <c r="O25" i="164" s="1"/>
  <c r="I8" i="236"/>
  <c r="I10" i="235"/>
  <c r="F10" i="164" s="1"/>
  <c r="G10" i="164" s="1"/>
  <c r="Q11" i="235"/>
  <c r="N11" i="164" s="1"/>
  <c r="O11" i="164" s="1"/>
  <c r="I12" i="235"/>
  <c r="F12" i="164" s="1"/>
  <c r="G12" i="164" s="1"/>
  <c r="Q13" i="235"/>
  <c r="N13" i="164" s="1"/>
  <c r="O13" i="164" s="1"/>
  <c r="M20" i="235"/>
  <c r="M16" i="236"/>
  <c r="M17" i="236"/>
  <c r="U17" i="236"/>
  <c r="Q28" i="236"/>
  <c r="I7" i="235"/>
  <c r="F7" i="164" s="1"/>
  <c r="G7" i="164" s="1"/>
  <c r="E10" i="235"/>
  <c r="B10" i="164" s="1"/>
  <c r="M11" i="235"/>
  <c r="J11" i="164" s="1"/>
  <c r="K11" i="164" s="1"/>
  <c r="M13" i="235"/>
  <c r="J13" i="164" s="1"/>
  <c r="K13" i="164" s="1"/>
  <c r="Q17" i="235"/>
  <c r="N17" i="164" s="1"/>
  <c r="O17" i="164" s="1"/>
  <c r="M24" i="235"/>
  <c r="M28" i="235"/>
  <c r="Q12" i="236"/>
  <c r="M13" i="236"/>
  <c r="M14" i="236"/>
  <c r="I15" i="236"/>
  <c r="M25" i="236"/>
  <c r="U35" i="236"/>
  <c r="U15" i="235"/>
  <c r="S15" i="164" s="1"/>
  <c r="U8" i="235"/>
  <c r="S8" i="164" s="1"/>
  <c r="E12" i="235"/>
  <c r="B12" i="164" s="1"/>
  <c r="C12" i="164"/>
  <c r="U13" i="235"/>
  <c r="S13" i="164" s="1"/>
  <c r="Q16" i="235"/>
  <c r="N16" i="164" s="1"/>
  <c r="O16" i="164" s="1"/>
  <c r="U16" i="235"/>
  <c r="S16" i="164" s="1"/>
  <c r="T24" i="164"/>
  <c r="U24" i="235"/>
  <c r="S24" i="164" s="1"/>
  <c r="T20" i="164"/>
  <c r="U20" i="235"/>
  <c r="S20" i="164" s="1"/>
  <c r="U7" i="235"/>
  <c r="S7" i="164" s="1"/>
  <c r="U10" i="235"/>
  <c r="S10" i="164" s="1"/>
  <c r="Q10" i="235"/>
  <c r="N10" i="164" s="1"/>
  <c r="O10" i="164" s="1"/>
  <c r="I11" i="235"/>
  <c r="F11" i="164" s="1"/>
  <c r="G11" i="164" s="1"/>
  <c r="Q12" i="235"/>
  <c r="N12" i="164" s="1"/>
  <c r="O12" i="164" s="1"/>
  <c r="U12" i="235"/>
  <c r="S12" i="164" s="1"/>
  <c r="E13" i="235"/>
  <c r="B13" i="164" s="1"/>
  <c r="E14" i="235"/>
  <c r="B14" i="164" s="1"/>
  <c r="U14" i="235"/>
  <c r="S14" i="164" s="1"/>
  <c r="M15" i="235"/>
  <c r="K15" i="164" s="1"/>
  <c r="M16" i="235"/>
  <c r="M25" i="235"/>
  <c r="U25" i="235"/>
  <c r="S25" i="164" s="1"/>
  <c r="Q26" i="235"/>
  <c r="O26" i="164" s="1"/>
  <c r="Q27" i="235"/>
  <c r="O27" i="164" s="1"/>
  <c r="T28" i="164"/>
  <c r="U28" i="235"/>
  <c r="S28" i="164" s="1"/>
  <c r="U11" i="236"/>
  <c r="U23" i="236"/>
  <c r="E8" i="235"/>
  <c r="B8" i="164" s="1"/>
  <c r="C8" i="164"/>
  <c r="I7" i="236"/>
  <c r="Q8" i="235"/>
  <c r="N8" i="164" s="1"/>
  <c r="O8" i="164" s="1"/>
  <c r="E9" i="235"/>
  <c r="B9" i="164" s="1"/>
  <c r="I9" i="235"/>
  <c r="F9" i="164" s="1"/>
  <c r="G9" i="164" s="1"/>
  <c r="M9" i="235"/>
  <c r="J9" i="164" s="1"/>
  <c r="K9" i="164" s="1"/>
  <c r="Q9" i="235"/>
  <c r="N9" i="164" s="1"/>
  <c r="O9" i="164" s="1"/>
  <c r="Q7" i="235"/>
  <c r="N7" i="164" s="1"/>
  <c r="O7" i="164" s="1"/>
  <c r="M8" i="235"/>
  <c r="J8" i="164" s="1"/>
  <c r="K8" i="164" s="1"/>
  <c r="M7" i="235"/>
  <c r="J7" i="164" s="1"/>
  <c r="K7" i="164" s="1"/>
  <c r="I8" i="235"/>
  <c r="F8" i="164" s="1"/>
  <c r="G8" i="164" s="1"/>
  <c r="M10" i="235"/>
  <c r="J10" i="164" s="1"/>
  <c r="K10" i="164" s="1"/>
  <c r="E11" i="235"/>
  <c r="B11" i="164" s="1"/>
  <c r="U11" i="235"/>
  <c r="S11" i="164" s="1"/>
  <c r="M12" i="235"/>
  <c r="J12" i="164" s="1"/>
  <c r="K12" i="164" s="1"/>
  <c r="Q14" i="235"/>
  <c r="N14" i="164" s="1"/>
  <c r="O14" i="164" s="1"/>
  <c r="I15" i="235"/>
  <c r="G15" i="164" s="1"/>
  <c r="I16" i="235"/>
  <c r="G16" i="164" s="1"/>
  <c r="Q29" i="235"/>
  <c r="O29" i="164" s="1"/>
  <c r="E9" i="236"/>
  <c r="B9" i="156"/>
  <c r="U9" i="236"/>
  <c r="U21" i="236"/>
  <c r="U31" i="236"/>
  <c r="M18" i="235"/>
  <c r="M19" i="235"/>
  <c r="Q20" i="235"/>
  <c r="O20" i="164" s="1"/>
  <c r="M22" i="235"/>
  <c r="M23" i="235"/>
  <c r="Q24" i="235"/>
  <c r="O24" i="164" s="1"/>
  <c r="M26" i="235"/>
  <c r="M27" i="235"/>
  <c r="Q28" i="235"/>
  <c r="O28" i="164" s="1"/>
  <c r="E7" i="236"/>
  <c r="E8" i="236"/>
  <c r="Q9" i="236"/>
  <c r="Q10" i="236"/>
  <c r="M11" i="236"/>
  <c r="M12" i="236"/>
  <c r="I13" i="236"/>
  <c r="I14" i="236"/>
  <c r="E15" i="236"/>
  <c r="I16" i="236"/>
  <c r="I17" i="236"/>
  <c r="Q18" i="236"/>
  <c r="M20" i="236"/>
  <c r="Q21" i="236"/>
  <c r="M23" i="236"/>
  <c r="Q26" i="236"/>
  <c r="M28" i="236"/>
  <c r="S29" i="164"/>
  <c r="Q7" i="236"/>
  <c r="Q8" i="236"/>
  <c r="M9" i="236"/>
  <c r="M10" i="236"/>
  <c r="I11" i="236"/>
  <c r="I12" i="236"/>
  <c r="E13" i="236"/>
  <c r="E14" i="236"/>
  <c r="Q15" i="236"/>
  <c r="M18" i="236"/>
  <c r="Q19" i="236"/>
  <c r="M21" i="236"/>
  <c r="Q24" i="236"/>
  <c r="M26" i="236"/>
  <c r="Q27" i="236"/>
  <c r="Q29" i="236"/>
  <c r="U18" i="235"/>
  <c r="S18" i="164" s="1"/>
  <c r="U19" i="235"/>
  <c r="S19" i="164" s="1"/>
  <c r="U22" i="235"/>
  <c r="S22" i="164" s="1"/>
  <c r="U23" i="235"/>
  <c r="S23" i="164" s="1"/>
  <c r="U26" i="235"/>
  <c r="S26" i="164" s="1"/>
  <c r="U27" i="235"/>
  <c r="S27" i="164" s="1"/>
  <c r="M7" i="236"/>
  <c r="U7" i="236"/>
  <c r="M8" i="236"/>
  <c r="I9" i="236"/>
  <c r="I10" i="236"/>
  <c r="E11" i="236"/>
  <c r="E12" i="236"/>
  <c r="Q13" i="236"/>
  <c r="Q14" i="236"/>
  <c r="M15" i="236"/>
  <c r="U15" i="236"/>
  <c r="Q16" i="236"/>
  <c r="Q17" i="236"/>
  <c r="M19" i="236"/>
  <c r="U19" i="236"/>
  <c r="Q22" i="236"/>
  <c r="M24" i="236"/>
  <c r="Q25" i="236"/>
  <c r="M27" i="236"/>
  <c r="U27" i="236"/>
  <c r="U29" i="236"/>
  <c r="U37" i="236"/>
  <c r="B13" i="156"/>
  <c r="B7" i="156"/>
  <c r="C15" i="156"/>
  <c r="B14" i="156"/>
  <c r="D12" i="156"/>
  <c r="C11" i="156"/>
  <c r="B10" i="156"/>
  <c r="D8" i="156"/>
  <c r="H17" i="156"/>
  <c r="G16" i="156"/>
  <c r="D7" i="156"/>
  <c r="B15" i="156"/>
  <c r="D13" i="156"/>
  <c r="C12" i="156"/>
  <c r="B11" i="156"/>
  <c r="D9" i="156"/>
  <c r="C8" i="156"/>
  <c r="G17" i="156"/>
  <c r="F16" i="156"/>
  <c r="C7" i="156"/>
  <c r="D14" i="156"/>
  <c r="C13" i="156"/>
  <c r="B12" i="156"/>
  <c r="D10" i="156"/>
  <c r="C9" i="156"/>
  <c r="B8" i="156"/>
  <c r="F17" i="156"/>
  <c r="U8" i="236"/>
  <c r="U10" i="236"/>
  <c r="U12" i="236"/>
  <c r="U14" i="236"/>
  <c r="U16" i="236"/>
  <c r="U18" i="236"/>
  <c r="U20" i="236"/>
  <c r="U22" i="236"/>
  <c r="U24" i="236"/>
  <c r="U26" i="236"/>
  <c r="U28" i="236"/>
  <c r="U30" i="236"/>
  <c r="U32" i="236"/>
  <c r="U34" i="236"/>
  <c r="U36" i="236"/>
  <c r="B18" i="228" l="1"/>
  <c r="F19" i="232"/>
  <c r="B18" i="156"/>
  <c r="B19" i="232"/>
  <c r="F18" i="228"/>
  <c r="C23" i="228"/>
  <c r="G23" i="228"/>
  <c r="C23" i="156"/>
  <c r="C24" i="232"/>
  <c r="G24" i="232"/>
  <c r="D28" i="228"/>
  <c r="H28" i="228"/>
  <c r="D28" i="156"/>
  <c r="D29" i="232"/>
  <c r="H29" i="232"/>
  <c r="D19" i="228"/>
  <c r="H19" i="228"/>
  <c r="D19" i="156"/>
  <c r="D20" i="232"/>
  <c r="H20" i="232"/>
  <c r="B25" i="228"/>
  <c r="F25" i="228"/>
  <c r="B25" i="156"/>
  <c r="B26" i="232"/>
  <c r="F26" i="232"/>
  <c r="H18" i="228"/>
  <c r="D18" i="228"/>
  <c r="H18" i="156"/>
  <c r="H19" i="232"/>
  <c r="D18" i="156"/>
  <c r="D19" i="232"/>
  <c r="F25" i="232"/>
  <c r="B24" i="228"/>
  <c r="F24" i="228"/>
  <c r="B24" i="156"/>
  <c r="B25" i="232"/>
  <c r="E7" i="156"/>
  <c r="E13" i="156"/>
  <c r="C19" i="228"/>
  <c r="G19" i="228"/>
  <c r="C19" i="156"/>
  <c r="C20" i="232"/>
  <c r="G20" i="232"/>
  <c r="D24" i="228"/>
  <c r="H24" i="228"/>
  <c r="D24" i="156"/>
  <c r="D25" i="232"/>
  <c r="H25" i="232"/>
  <c r="E12" i="156"/>
  <c r="B21" i="228"/>
  <c r="F21" i="228"/>
  <c r="B21" i="156"/>
  <c r="B22" i="232"/>
  <c r="F22" i="232"/>
  <c r="C26" i="228"/>
  <c r="G26" i="228"/>
  <c r="C26" i="156"/>
  <c r="C27" i="232"/>
  <c r="G27" i="232"/>
  <c r="F21" i="232"/>
  <c r="B20" i="228"/>
  <c r="F20" i="228"/>
  <c r="B20" i="156"/>
  <c r="B21" i="232"/>
  <c r="G26" i="232"/>
  <c r="C25" i="228"/>
  <c r="G25" i="228"/>
  <c r="C25" i="156"/>
  <c r="C26" i="232"/>
  <c r="F23" i="228"/>
  <c r="B23" i="156"/>
  <c r="B24" i="232"/>
  <c r="F24" i="232"/>
  <c r="B23" i="228"/>
  <c r="B26" i="228"/>
  <c r="F26" i="228"/>
  <c r="B26" i="156"/>
  <c r="B27" i="232"/>
  <c r="F27" i="232"/>
  <c r="E8" i="156"/>
  <c r="B17" i="228"/>
  <c r="B17" i="156"/>
  <c r="B18" i="232"/>
  <c r="C22" i="228"/>
  <c r="G22" i="228"/>
  <c r="C22" i="156"/>
  <c r="C23" i="232"/>
  <c r="G23" i="232"/>
  <c r="D27" i="228"/>
  <c r="H27" i="228"/>
  <c r="D27" i="156"/>
  <c r="D28" i="232"/>
  <c r="H28" i="232"/>
  <c r="E15" i="156"/>
  <c r="G22" i="232"/>
  <c r="C21" i="228"/>
  <c r="G21" i="228"/>
  <c r="C21" i="156"/>
  <c r="C22" i="232"/>
  <c r="H27" i="232"/>
  <c r="D26" i="228"/>
  <c r="H26" i="228"/>
  <c r="D26" i="156"/>
  <c r="D27" i="232"/>
  <c r="E14" i="156"/>
  <c r="D20" i="228"/>
  <c r="H20" i="228"/>
  <c r="D20" i="156"/>
  <c r="D21" i="232"/>
  <c r="H21" i="232"/>
  <c r="B22" i="228"/>
  <c r="F22" i="228"/>
  <c r="B22" i="156"/>
  <c r="B23" i="232"/>
  <c r="F23" i="232"/>
  <c r="C27" i="228"/>
  <c r="G27" i="228"/>
  <c r="C27" i="156"/>
  <c r="C28" i="232"/>
  <c r="G28" i="232"/>
  <c r="C18" i="228"/>
  <c r="G18" i="228"/>
  <c r="C18" i="156"/>
  <c r="C19" i="232"/>
  <c r="G18" i="156"/>
  <c r="G19" i="232"/>
  <c r="D23" i="228"/>
  <c r="H23" i="228"/>
  <c r="D23" i="156"/>
  <c r="D24" i="232"/>
  <c r="H24" i="232"/>
  <c r="E11" i="156"/>
  <c r="C17" i="228"/>
  <c r="C17" i="156"/>
  <c r="C18" i="232"/>
  <c r="H23" i="232"/>
  <c r="D22" i="228"/>
  <c r="H22" i="228"/>
  <c r="D22" i="156"/>
  <c r="D23" i="232"/>
  <c r="F29" i="232"/>
  <c r="B28" i="228"/>
  <c r="F28" i="228"/>
  <c r="B28" i="156"/>
  <c r="B29" i="232"/>
  <c r="E10" i="156"/>
  <c r="E9" i="156"/>
  <c r="K22" i="164"/>
  <c r="K21" i="164"/>
  <c r="K26" i="164"/>
  <c r="K25" i="164"/>
  <c r="K24" i="164"/>
  <c r="K27" i="164"/>
  <c r="K28" i="164"/>
  <c r="K19" i="164"/>
  <c r="K17" i="164"/>
  <c r="K23" i="164"/>
  <c r="K18" i="164"/>
  <c r="K16" i="164"/>
  <c r="K20" i="164"/>
  <c r="C40" i="156" l="1"/>
  <c r="D40" i="156"/>
  <c r="D41" i="156"/>
  <c r="E25" i="156"/>
  <c r="B39" i="156"/>
  <c r="E28" i="156"/>
  <c r="E27" i="156"/>
  <c r="E26" i="156"/>
  <c r="E20" i="156"/>
  <c r="E24" i="156"/>
  <c r="E22" i="156"/>
  <c r="E17" i="156"/>
  <c r="E18" i="156"/>
  <c r="D39" i="156"/>
  <c r="B41" i="156"/>
  <c r="E21" i="156"/>
  <c r="E19" i="156"/>
  <c r="B40" i="156"/>
  <c r="C41" i="156"/>
  <c r="E23" i="156"/>
  <c r="C39" i="156"/>
  <c r="J36" i="232"/>
  <c r="J37" i="232"/>
  <c r="J38" i="232"/>
  <c r="V36" i="232"/>
  <c r="V37" i="232"/>
  <c r="V38" i="232"/>
  <c r="N36" i="232"/>
  <c r="O36" i="232"/>
  <c r="P36" i="232"/>
  <c r="N37" i="232"/>
  <c r="O37" i="232"/>
  <c r="P37" i="232"/>
  <c r="N38" i="232"/>
  <c r="O38" i="232"/>
  <c r="P38" i="232"/>
  <c r="K36" i="232"/>
  <c r="L36" i="232"/>
  <c r="K37" i="232"/>
  <c r="L37" i="232"/>
  <c r="K38" i="232"/>
  <c r="L38" i="232"/>
  <c r="E40" i="156" l="1"/>
  <c r="E45" i="156" s="1"/>
  <c r="E39" i="156"/>
  <c r="E44" i="156" s="1"/>
  <c r="E41" i="156"/>
  <c r="E46" i="156" s="1"/>
  <c r="L35" i="232" l="1"/>
  <c r="J35" i="232"/>
  <c r="K35" i="232"/>
  <c r="N32" i="232"/>
  <c r="O32" i="232"/>
  <c r="P32" i="232"/>
  <c r="L31" i="232"/>
  <c r="J31" i="232"/>
  <c r="K31" i="232"/>
  <c r="V35" i="232"/>
  <c r="V31" i="232"/>
  <c r="V27" i="232"/>
  <c r="V23" i="232"/>
  <c r="V19" i="232"/>
  <c r="V15" i="232"/>
  <c r="V11" i="232"/>
  <c r="N33" i="232"/>
  <c r="O33" i="232"/>
  <c r="P33" i="232"/>
  <c r="K32" i="232"/>
  <c r="L32" i="232"/>
  <c r="J32" i="232"/>
  <c r="V34" i="232"/>
  <c r="V30" i="232"/>
  <c r="V26" i="232"/>
  <c r="V22" i="232"/>
  <c r="V18" i="232"/>
  <c r="V14" i="232"/>
  <c r="V10" i="232"/>
  <c r="D17" i="232"/>
  <c r="B17" i="232"/>
  <c r="C17" i="232"/>
  <c r="O34" i="232"/>
  <c r="P34" i="232"/>
  <c r="N34" i="232"/>
  <c r="J33" i="232"/>
  <c r="L33" i="232"/>
  <c r="K33" i="232"/>
  <c r="V33" i="232"/>
  <c r="V29" i="232"/>
  <c r="V25" i="232"/>
  <c r="V21" i="232"/>
  <c r="V17" i="232"/>
  <c r="V13" i="232"/>
  <c r="V9" i="232"/>
  <c r="P35" i="232"/>
  <c r="N35" i="232"/>
  <c r="O35" i="232"/>
  <c r="J34" i="232"/>
  <c r="K34" i="232"/>
  <c r="L34" i="232"/>
  <c r="P31" i="232"/>
  <c r="N31" i="232"/>
  <c r="O31" i="232"/>
  <c r="J30" i="232"/>
  <c r="K30" i="232"/>
  <c r="L30" i="232"/>
  <c r="V32" i="232"/>
  <c r="V28" i="232"/>
  <c r="V24" i="232"/>
  <c r="V20" i="232"/>
  <c r="V16" i="232"/>
  <c r="V12" i="232"/>
  <c r="O30" i="232" l="1"/>
  <c r="O29" i="232"/>
  <c r="O28" i="232"/>
  <c r="O27" i="232"/>
  <c r="O26" i="232"/>
  <c r="O25" i="232"/>
  <c r="O24" i="232"/>
  <c r="O23" i="232"/>
  <c r="O22" i="232"/>
  <c r="O21" i="232"/>
  <c r="O20" i="232"/>
  <c r="O19" i="232"/>
  <c r="O18" i="232"/>
  <c r="O17" i="232"/>
  <c r="O16" i="232"/>
  <c r="O15" i="232"/>
  <c r="O14" i="232"/>
  <c r="O13" i="232"/>
  <c r="O12" i="232"/>
  <c r="O11" i="232"/>
  <c r="O10" i="232"/>
  <c r="O9" i="232"/>
  <c r="K29" i="232"/>
  <c r="K28" i="232"/>
  <c r="K27" i="232"/>
  <c r="K26" i="232"/>
  <c r="K25" i="232"/>
  <c r="K24" i="232"/>
  <c r="K23" i="232"/>
  <c r="K22" i="232"/>
  <c r="K21" i="232"/>
  <c r="K20" i="232"/>
  <c r="K19" i="232"/>
  <c r="K18" i="232"/>
  <c r="K17" i="232"/>
  <c r="K16" i="232"/>
  <c r="K15" i="232"/>
  <c r="K14" i="232"/>
  <c r="K13" i="232"/>
  <c r="K12" i="232"/>
  <c r="K11" i="232"/>
  <c r="K10" i="232"/>
  <c r="K9" i="232"/>
  <c r="G18" i="232"/>
  <c r="G17" i="232"/>
  <c r="G16" i="232"/>
  <c r="G15" i="232"/>
  <c r="G14" i="232"/>
  <c r="G13" i="232"/>
  <c r="G12" i="232"/>
  <c r="G11" i="232"/>
  <c r="G10" i="232"/>
  <c r="G9" i="232"/>
  <c r="X38" i="232"/>
  <c r="X37" i="232"/>
  <c r="X36" i="232"/>
  <c r="X35" i="232"/>
  <c r="X34" i="232"/>
  <c r="X33" i="232"/>
  <c r="X32" i="232"/>
  <c r="X31" i="232"/>
  <c r="X30" i="232"/>
  <c r="X29" i="232"/>
  <c r="X28" i="232"/>
  <c r="X27" i="232"/>
  <c r="X26" i="232"/>
  <c r="X25" i="232"/>
  <c r="X24" i="232"/>
  <c r="X23" i="232"/>
  <c r="X22" i="232"/>
  <c r="X21" i="232"/>
  <c r="X20" i="232"/>
  <c r="X19" i="232"/>
  <c r="X18" i="232"/>
  <c r="X17" i="232"/>
  <c r="X16" i="232"/>
  <c r="X15" i="232"/>
  <c r="X14" i="232"/>
  <c r="X13" i="232"/>
  <c r="X12" i="232"/>
  <c r="X11" i="232"/>
  <c r="X10" i="232"/>
  <c r="X9" i="232"/>
  <c r="P30" i="232"/>
  <c r="P29" i="232"/>
  <c r="P28" i="232"/>
  <c r="P27" i="232"/>
  <c r="P26" i="232"/>
  <c r="P25" i="232"/>
  <c r="P24" i="232"/>
  <c r="P23" i="232"/>
  <c r="P22" i="232"/>
  <c r="P21" i="232"/>
  <c r="P20" i="232"/>
  <c r="P19" i="232"/>
  <c r="P18" i="232"/>
  <c r="P17" i="232"/>
  <c r="P16" i="232"/>
  <c r="P15" i="232"/>
  <c r="P14" i="232"/>
  <c r="P13" i="232"/>
  <c r="P12" i="232"/>
  <c r="P11" i="232"/>
  <c r="P10" i="232"/>
  <c r="P9" i="232"/>
  <c r="L29" i="232"/>
  <c r="L28" i="232"/>
  <c r="L27" i="232"/>
  <c r="L26" i="232"/>
  <c r="L25" i="232"/>
  <c r="L24" i="232"/>
  <c r="L23" i="232"/>
  <c r="L22" i="232"/>
  <c r="L21" i="232"/>
  <c r="L20" i="232"/>
  <c r="L19" i="232"/>
  <c r="L18" i="232"/>
  <c r="L17" i="232"/>
  <c r="L16" i="232"/>
  <c r="L15" i="232"/>
  <c r="L14" i="232"/>
  <c r="L13" i="232"/>
  <c r="L12" i="232"/>
  <c r="L11" i="232"/>
  <c r="L10" i="232"/>
  <c r="L9" i="232"/>
  <c r="H18" i="232"/>
  <c r="H17" i="232"/>
  <c r="H16" i="232"/>
  <c r="H15" i="232"/>
  <c r="H14" i="232"/>
  <c r="H13" i="232"/>
  <c r="H12" i="232"/>
  <c r="H11" i="232"/>
  <c r="H10" i="232"/>
  <c r="H9" i="232"/>
  <c r="D16" i="232"/>
  <c r="D15" i="232"/>
  <c r="D14" i="232"/>
  <c r="D13" i="232"/>
  <c r="D12" i="232"/>
  <c r="D11" i="232"/>
  <c r="D10" i="232"/>
  <c r="D9" i="232"/>
  <c r="C16" i="232"/>
  <c r="C15" i="232"/>
  <c r="C14" i="232"/>
  <c r="C13" i="232"/>
  <c r="C12" i="232"/>
  <c r="C11" i="232"/>
  <c r="C10" i="232"/>
  <c r="C9" i="232"/>
  <c r="N30" i="232"/>
  <c r="N29" i="232"/>
  <c r="N28" i="232"/>
  <c r="N27" i="232"/>
  <c r="N26" i="232"/>
  <c r="N25" i="232"/>
  <c r="N24" i="232"/>
  <c r="N23" i="232"/>
  <c r="N22" i="232"/>
  <c r="N21" i="232"/>
  <c r="N20" i="232"/>
  <c r="N19" i="232"/>
  <c r="N18" i="232"/>
  <c r="N17" i="232"/>
  <c r="N16" i="232"/>
  <c r="N15" i="232"/>
  <c r="N14" i="232"/>
  <c r="N13" i="232"/>
  <c r="N12" i="232"/>
  <c r="N11" i="232"/>
  <c r="N10" i="232"/>
  <c r="N9" i="232"/>
  <c r="J29" i="232"/>
  <c r="J28" i="232"/>
  <c r="J27" i="232"/>
  <c r="J26" i="232"/>
  <c r="J25" i="232"/>
  <c r="J24" i="232"/>
  <c r="J23" i="232"/>
  <c r="J22" i="232"/>
  <c r="J21" i="232"/>
  <c r="J20" i="232"/>
  <c r="J19" i="232"/>
  <c r="J18" i="232"/>
  <c r="J17" i="232"/>
  <c r="J16" i="232"/>
  <c r="J15" i="232"/>
  <c r="J14" i="232"/>
  <c r="J13" i="232"/>
  <c r="J12" i="232"/>
  <c r="J11" i="232"/>
  <c r="J10" i="232"/>
  <c r="J7" i="232"/>
  <c r="F18" i="232"/>
  <c r="F17" i="232"/>
  <c r="F16" i="232"/>
  <c r="F15" i="232"/>
  <c r="F14" i="232"/>
  <c r="F13" i="232"/>
  <c r="F12" i="232"/>
  <c r="F11" i="232"/>
  <c r="F10" i="232"/>
  <c r="F9" i="232"/>
  <c r="B16" i="232"/>
  <c r="B15" i="232"/>
  <c r="B14" i="232"/>
  <c r="B13" i="232"/>
  <c r="B12" i="232"/>
  <c r="B11" i="232"/>
  <c r="B10" i="232"/>
  <c r="B9" i="232"/>
  <c r="AG17" i="8"/>
  <c r="AF17" i="8"/>
  <c r="AG16" i="8"/>
  <c r="AF16" i="8"/>
  <c r="AG15" i="8"/>
  <c r="AF15" i="8"/>
  <c r="AD15" i="8"/>
  <c r="AG14" i="8"/>
  <c r="AF14" i="8"/>
  <c r="AE14" i="8"/>
  <c r="AD14" i="8"/>
  <c r="AG13" i="8"/>
  <c r="AF13" i="8"/>
  <c r="AE13" i="8"/>
  <c r="AD13" i="8"/>
  <c r="AG12" i="8"/>
  <c r="AF12" i="8"/>
  <c r="AE12" i="8"/>
  <c r="AD12" i="8"/>
  <c r="AG11" i="8"/>
  <c r="AF11" i="8"/>
  <c r="AE11" i="8"/>
  <c r="AD11" i="8"/>
  <c r="AG10" i="8"/>
  <c r="AF10" i="8"/>
  <c r="AE10" i="8"/>
  <c r="AD10" i="8"/>
  <c r="AG9" i="8"/>
  <c r="AF9" i="8"/>
  <c r="AE9" i="8"/>
  <c r="AD9" i="8"/>
  <c r="AG8" i="8"/>
  <c r="AF8" i="8"/>
  <c r="AE8" i="8"/>
  <c r="AD8" i="8"/>
  <c r="W11" i="232" l="1"/>
  <c r="W15" i="232"/>
  <c r="W19" i="232"/>
  <c r="W23" i="232"/>
  <c r="W27" i="232"/>
  <c r="W31" i="232"/>
  <c r="W35" i="232"/>
  <c r="J9" i="232"/>
  <c r="J8" i="232"/>
  <c r="W12" i="232"/>
  <c r="W16" i="232"/>
  <c r="W20" i="232"/>
  <c r="W24" i="232"/>
  <c r="W28" i="232"/>
  <c r="W32" i="232"/>
  <c r="W36" i="232"/>
  <c r="W9" i="232"/>
  <c r="W13" i="232"/>
  <c r="W17" i="232"/>
  <c r="W21" i="232"/>
  <c r="W25" i="232"/>
  <c r="W29" i="232"/>
  <c r="W33" i="232"/>
  <c r="W37" i="232"/>
  <c r="W10" i="232"/>
  <c r="W14" i="232"/>
  <c r="W18" i="232"/>
  <c r="W22" i="232"/>
  <c r="W26" i="232"/>
  <c r="W30" i="232"/>
  <c r="W34" i="232"/>
  <c r="W38" i="232"/>
  <c r="O12" i="50" l="1"/>
  <c r="O13" i="50"/>
  <c r="O14" i="50"/>
  <c r="O15" i="50"/>
  <c r="P15" i="50"/>
  <c r="O16" i="50"/>
  <c r="P16" i="50"/>
  <c r="O17" i="50"/>
  <c r="P17" i="50"/>
  <c r="O18" i="50"/>
  <c r="P18" i="50"/>
  <c r="O19" i="50"/>
  <c r="P19" i="50"/>
  <c r="O20" i="50"/>
  <c r="P20" i="50"/>
  <c r="O21" i="50"/>
  <c r="P21" i="50"/>
  <c r="O22" i="50"/>
  <c r="P22" i="50"/>
  <c r="O23" i="50"/>
  <c r="P23" i="50"/>
  <c r="O24" i="50"/>
  <c r="P24" i="50"/>
  <c r="O25" i="50"/>
  <c r="P25" i="50"/>
  <c r="O26" i="50"/>
  <c r="P26" i="50"/>
  <c r="O27" i="50"/>
  <c r="P27" i="50"/>
  <c r="Q27" i="50"/>
  <c r="O28" i="50"/>
  <c r="P28" i="50"/>
  <c r="Q28" i="50"/>
  <c r="O29" i="50"/>
  <c r="P29" i="50"/>
  <c r="Q29" i="50"/>
  <c r="O30" i="50"/>
  <c r="P30" i="50"/>
  <c r="Q30" i="50"/>
  <c r="O31" i="50"/>
  <c r="P31" i="50"/>
  <c r="Q31" i="50"/>
  <c r="O32" i="50"/>
  <c r="P32" i="50"/>
  <c r="Q32" i="50"/>
  <c r="O33" i="50"/>
  <c r="P33" i="50"/>
  <c r="Q33" i="50"/>
  <c r="O34" i="50"/>
  <c r="P34" i="50"/>
  <c r="Q34" i="50"/>
  <c r="O35" i="50"/>
  <c r="P35" i="50"/>
  <c r="Q35" i="50"/>
  <c r="O36" i="50"/>
  <c r="P36" i="50"/>
  <c r="Q36" i="50"/>
  <c r="O37" i="50"/>
  <c r="P37" i="50"/>
  <c r="Q37" i="50"/>
  <c r="N8" i="50"/>
  <c r="N9" i="50"/>
  <c r="N10" i="50"/>
  <c r="N11" i="50"/>
  <c r="N12" i="50"/>
  <c r="N13" i="50"/>
  <c r="N14" i="50"/>
  <c r="N15" i="50"/>
  <c r="N16" i="50"/>
  <c r="N17" i="50"/>
  <c r="N18" i="50"/>
  <c r="N19" i="50"/>
  <c r="N20" i="50"/>
  <c r="N21" i="50"/>
  <c r="N22" i="50"/>
  <c r="N23" i="50"/>
  <c r="N24" i="50"/>
  <c r="N25" i="50"/>
  <c r="N26" i="50"/>
  <c r="N27" i="50"/>
  <c r="N28" i="50"/>
  <c r="N29" i="50"/>
  <c r="N30" i="50"/>
  <c r="N31" i="50"/>
  <c r="N32" i="50"/>
  <c r="N33" i="50"/>
  <c r="N34" i="50"/>
  <c r="N35" i="50"/>
  <c r="M36" i="50"/>
  <c r="N36" i="50"/>
  <c r="M37" i="50"/>
  <c r="N37" i="50"/>
  <c r="N7" i="50"/>
  <c r="Y38" i="232"/>
  <c r="W7" i="232"/>
  <c r="X7" i="232"/>
  <c r="W8" i="232"/>
  <c r="X8" i="232"/>
  <c r="Y37" i="232"/>
  <c r="V8" i="232"/>
  <c r="Y9" i="232"/>
  <c r="Y13" i="232"/>
  <c r="Y15" i="232"/>
  <c r="Y17" i="232"/>
  <c r="Y19" i="232"/>
  <c r="Y21" i="232"/>
  <c r="Y23" i="232"/>
  <c r="Y25" i="232"/>
  <c r="Y27" i="232"/>
  <c r="Y29" i="232"/>
  <c r="Y31" i="232"/>
  <c r="Y33" i="232"/>
  <c r="Y35" i="232"/>
  <c r="V7" i="232"/>
  <c r="N8" i="232"/>
  <c r="O8" i="232"/>
  <c r="P8" i="232"/>
  <c r="Q36" i="232"/>
  <c r="Q37" i="232"/>
  <c r="Q38" i="232"/>
  <c r="P7" i="232"/>
  <c r="O7" i="232"/>
  <c r="N7" i="232"/>
  <c r="K8" i="232"/>
  <c r="L8" i="232"/>
  <c r="M11" i="232"/>
  <c r="M15" i="232"/>
  <c r="M19" i="232"/>
  <c r="M23" i="232"/>
  <c r="M27" i="232"/>
  <c r="M31" i="232"/>
  <c r="M35" i="232"/>
  <c r="M36" i="232"/>
  <c r="M37" i="232"/>
  <c r="M38" i="232"/>
  <c r="L7" i="232"/>
  <c r="K7" i="232"/>
  <c r="F8" i="232"/>
  <c r="G8" i="232"/>
  <c r="H8" i="232"/>
  <c r="I36" i="232"/>
  <c r="I37" i="232"/>
  <c r="I38" i="232"/>
  <c r="H7" i="232"/>
  <c r="G7" i="232"/>
  <c r="F7" i="232"/>
  <c r="E36" i="232"/>
  <c r="E37" i="232"/>
  <c r="E38" i="232"/>
  <c r="D8" i="232"/>
  <c r="D7" i="232"/>
  <c r="C8" i="232"/>
  <c r="C7" i="232"/>
  <c r="B8" i="232"/>
  <c r="E9" i="232"/>
  <c r="E10" i="232"/>
  <c r="E11" i="232"/>
  <c r="E13" i="232"/>
  <c r="E15" i="232"/>
  <c r="E16" i="232"/>
  <c r="E17" i="232"/>
  <c r="E18" i="232"/>
  <c r="E19" i="232"/>
  <c r="E20" i="232"/>
  <c r="E21" i="232"/>
  <c r="E22" i="232"/>
  <c r="E23" i="232"/>
  <c r="E24" i="232"/>
  <c r="E25" i="232"/>
  <c r="E26" i="232"/>
  <c r="E27" i="232"/>
  <c r="E28" i="232"/>
  <c r="E29" i="232"/>
  <c r="E30" i="232"/>
  <c r="E31" i="232"/>
  <c r="E32" i="232"/>
  <c r="E33" i="232"/>
  <c r="E34" i="232"/>
  <c r="E35" i="232"/>
  <c r="B7" i="232"/>
  <c r="R37" i="50" l="1"/>
  <c r="R36" i="50"/>
  <c r="E8" i="232"/>
  <c r="I7" i="232"/>
  <c r="I35" i="232"/>
  <c r="I31" i="232"/>
  <c r="I23" i="232"/>
  <c r="I11" i="232"/>
  <c r="Y30" i="232"/>
  <c r="Y22" i="232"/>
  <c r="Y10" i="232"/>
  <c r="Q7" i="232"/>
  <c r="I27" i="232"/>
  <c r="I19" i="232"/>
  <c r="I15" i="232"/>
  <c r="Y26" i="232"/>
  <c r="Y18" i="232"/>
  <c r="M7" i="232"/>
  <c r="Q35" i="232"/>
  <c r="Q31" i="232"/>
  <c r="Q27" i="232"/>
  <c r="Q23" i="232"/>
  <c r="Q19" i="232"/>
  <c r="Q15" i="232"/>
  <c r="Q11" i="232"/>
  <c r="Y32" i="232"/>
  <c r="Y28" i="232"/>
  <c r="Y24" i="232"/>
  <c r="Y20" i="232"/>
  <c r="Y16" i="232"/>
  <c r="Y12" i="232"/>
  <c r="Y8" i="232"/>
  <c r="I34" i="232"/>
  <c r="I30" i="232"/>
  <c r="I26" i="232"/>
  <c r="I22" i="232"/>
  <c r="I18" i="232"/>
  <c r="I10" i="232"/>
  <c r="M34" i="232"/>
  <c r="M30" i="232"/>
  <c r="M26" i="232"/>
  <c r="M22" i="232"/>
  <c r="M18" i="232"/>
  <c r="M10" i="232"/>
  <c r="Q34" i="232"/>
  <c r="Q30" i="232"/>
  <c r="Q26" i="232"/>
  <c r="Q22" i="232"/>
  <c r="Q18" i="232"/>
  <c r="Q10" i="232"/>
  <c r="I32" i="232"/>
  <c r="I28" i="232"/>
  <c r="I24" i="232"/>
  <c r="I20" i="232"/>
  <c r="I16" i="232"/>
  <c r="I8" i="232"/>
  <c r="M32" i="232"/>
  <c r="M28" i="232"/>
  <c r="M24" i="232"/>
  <c r="M20" i="232"/>
  <c r="M16" i="232"/>
  <c r="M8" i="232"/>
  <c r="Q32" i="232"/>
  <c r="Q28" i="232"/>
  <c r="Q24" i="232"/>
  <c r="Q20" i="232"/>
  <c r="Q16" i="232"/>
  <c r="Q8" i="232"/>
  <c r="V42" i="232"/>
  <c r="I33" i="232"/>
  <c r="I29" i="232"/>
  <c r="I25" i="232"/>
  <c r="I21" i="232"/>
  <c r="I17" i="232"/>
  <c r="I13" i="232"/>
  <c r="M33" i="232"/>
  <c r="M29" i="232"/>
  <c r="M25" i="232"/>
  <c r="M21" i="232"/>
  <c r="M17" i="232"/>
  <c r="M13" i="232"/>
  <c r="Q33" i="232"/>
  <c r="Q29" i="232"/>
  <c r="Q25" i="232"/>
  <c r="Q21" i="232"/>
  <c r="Q17" i="232"/>
  <c r="Q13" i="232"/>
  <c r="Q12" i="232"/>
  <c r="I9" i="232"/>
  <c r="M9" i="232"/>
  <c r="Q9" i="232"/>
  <c r="V41" i="232"/>
  <c r="Y7" i="232"/>
  <c r="Y11" i="232"/>
  <c r="I12" i="232"/>
  <c r="M12" i="232"/>
  <c r="I14" i="232"/>
  <c r="M14" i="232"/>
  <c r="Q14" i="232"/>
  <c r="Y34" i="232"/>
  <c r="V44" i="232"/>
  <c r="Y36" i="232"/>
  <c r="V40" i="232"/>
  <c r="E12" i="232"/>
  <c r="E7" i="232"/>
  <c r="Y14" i="232"/>
  <c r="V43" i="232"/>
  <c r="E14" i="232"/>
  <c r="N39" i="50"/>
  <c r="Q17" i="50" l="1"/>
  <c r="Q18" i="50"/>
  <c r="Q19" i="50"/>
  <c r="Q20" i="50"/>
  <c r="Q21" i="50"/>
  <c r="Q22" i="50"/>
  <c r="Q23" i="50"/>
  <c r="Q24" i="50"/>
  <c r="Q25" i="50"/>
  <c r="Q26" i="50"/>
  <c r="M35" i="50"/>
  <c r="R35" i="50" s="1"/>
  <c r="M33" i="50"/>
  <c r="R33" i="50" s="1"/>
  <c r="M23" i="50"/>
  <c r="M24" i="50"/>
  <c r="M25" i="50"/>
  <c r="M26" i="50"/>
  <c r="M27" i="50"/>
  <c r="R27" i="50" s="1"/>
  <c r="M28" i="50"/>
  <c r="R28" i="50" s="1"/>
  <c r="M29" i="50"/>
  <c r="R29" i="50" s="1"/>
  <c r="M30" i="50"/>
  <c r="R30" i="50" s="1"/>
  <c r="M31" i="50"/>
  <c r="R31" i="50" s="1"/>
  <c r="M32" i="50"/>
  <c r="R32" i="50" s="1"/>
  <c r="M34" i="50"/>
  <c r="R34" i="50" s="1"/>
  <c r="R25" i="50" l="1"/>
  <c r="R24" i="50"/>
  <c r="R23" i="50"/>
  <c r="R26" i="50"/>
  <c r="A16" i="234" l="1"/>
  <c r="A16" i="233"/>
  <c r="T38" i="232"/>
  <c r="AB38" i="232" s="1"/>
  <c r="S38" i="232"/>
  <c r="AA38" i="232" s="1"/>
  <c r="R38" i="232"/>
  <c r="T37" i="232"/>
  <c r="AB37" i="232" s="1"/>
  <c r="S37" i="232"/>
  <c r="AA37" i="232" s="1"/>
  <c r="R37" i="232"/>
  <c r="T36" i="232"/>
  <c r="AB36" i="232" s="1"/>
  <c r="S36" i="232"/>
  <c r="AA36" i="232" s="1"/>
  <c r="R36" i="232"/>
  <c r="T35" i="232"/>
  <c r="AB35" i="232" s="1"/>
  <c r="S35" i="232"/>
  <c r="AA35" i="232" s="1"/>
  <c r="R35" i="232"/>
  <c r="T34" i="232"/>
  <c r="AB34" i="232" s="1"/>
  <c r="S34" i="232"/>
  <c r="AA34" i="232" s="1"/>
  <c r="R34" i="232"/>
  <c r="T33" i="232"/>
  <c r="AB33" i="232" s="1"/>
  <c r="S33" i="232"/>
  <c r="AA33" i="232" s="1"/>
  <c r="R33" i="232"/>
  <c r="T32" i="232"/>
  <c r="AB32" i="232" s="1"/>
  <c r="S32" i="232"/>
  <c r="AA32" i="232" s="1"/>
  <c r="R32" i="232"/>
  <c r="T31" i="232"/>
  <c r="AB31" i="232" s="1"/>
  <c r="S31" i="232"/>
  <c r="AA31" i="232" s="1"/>
  <c r="R31" i="232"/>
  <c r="T30" i="232"/>
  <c r="AB30" i="232" s="1"/>
  <c r="S30" i="232"/>
  <c r="AA30" i="232" s="1"/>
  <c r="R30" i="232"/>
  <c r="T29" i="232"/>
  <c r="AB29" i="232" s="1"/>
  <c r="S29" i="232"/>
  <c r="AA29" i="232" s="1"/>
  <c r="R29" i="232"/>
  <c r="T28" i="232"/>
  <c r="AB28" i="232" s="1"/>
  <c r="S28" i="232"/>
  <c r="AA28" i="232" s="1"/>
  <c r="R28" i="232"/>
  <c r="T27" i="232"/>
  <c r="AB27" i="232" s="1"/>
  <c r="S27" i="232"/>
  <c r="AA27" i="232" s="1"/>
  <c r="R27" i="232"/>
  <c r="T26" i="232"/>
  <c r="AB26" i="232" s="1"/>
  <c r="S26" i="232"/>
  <c r="AA26" i="232" s="1"/>
  <c r="R26" i="232"/>
  <c r="T25" i="232"/>
  <c r="AB25" i="232" s="1"/>
  <c r="S25" i="232"/>
  <c r="AA25" i="232" s="1"/>
  <c r="R25" i="232"/>
  <c r="T24" i="232"/>
  <c r="AB24" i="232" s="1"/>
  <c r="S24" i="232"/>
  <c r="AA24" i="232" s="1"/>
  <c r="R24" i="232"/>
  <c r="T23" i="232"/>
  <c r="AB23" i="232" s="1"/>
  <c r="S23" i="232"/>
  <c r="AA23" i="232" s="1"/>
  <c r="R23" i="232"/>
  <c r="T22" i="232"/>
  <c r="AB22" i="232" s="1"/>
  <c r="S22" i="232"/>
  <c r="AA22" i="232" s="1"/>
  <c r="R22" i="232"/>
  <c r="T21" i="232"/>
  <c r="AB21" i="232" s="1"/>
  <c r="S21" i="232"/>
  <c r="AA21" i="232" s="1"/>
  <c r="R21" i="232"/>
  <c r="T20" i="232"/>
  <c r="AB20" i="232" s="1"/>
  <c r="S20" i="232"/>
  <c r="AA20" i="232" s="1"/>
  <c r="R20" i="232"/>
  <c r="T19" i="232"/>
  <c r="AB19" i="232" s="1"/>
  <c r="S19" i="232"/>
  <c r="AA19" i="232" s="1"/>
  <c r="R19" i="232"/>
  <c r="T18" i="232"/>
  <c r="AB18" i="232" s="1"/>
  <c r="R18" i="232"/>
  <c r="T17" i="232"/>
  <c r="AB17" i="232" s="1"/>
  <c r="S17" i="232"/>
  <c r="AA17" i="232" s="1"/>
  <c r="R17" i="232"/>
  <c r="T16" i="232"/>
  <c r="AB16" i="232" s="1"/>
  <c r="S16" i="232"/>
  <c r="AA16" i="232" s="1"/>
  <c r="R16" i="232"/>
  <c r="Z38" i="232" l="1"/>
  <c r="AC38" i="232" s="1"/>
  <c r="U38" i="232"/>
  <c r="Z37" i="232"/>
  <c r="AC37" i="232" s="1"/>
  <c r="U37" i="232"/>
  <c r="Z36" i="232"/>
  <c r="U36" i="232"/>
  <c r="Z21" i="232"/>
  <c r="Z25" i="232"/>
  <c r="U25" i="232"/>
  <c r="Z29" i="232"/>
  <c r="AC29" i="232" s="1"/>
  <c r="U29" i="232"/>
  <c r="Z33" i="232"/>
  <c r="AC33" i="232" s="1"/>
  <c r="U33" i="232"/>
  <c r="Z22" i="232"/>
  <c r="Z26" i="232"/>
  <c r="U26" i="232"/>
  <c r="Z20" i="232"/>
  <c r="Z24" i="232"/>
  <c r="AC24" i="232" s="1"/>
  <c r="U24" i="232"/>
  <c r="Z28" i="232"/>
  <c r="AC28" i="232" s="1"/>
  <c r="U28" i="232"/>
  <c r="Z32" i="232"/>
  <c r="AC32" i="232" s="1"/>
  <c r="U32" i="232"/>
  <c r="Z30" i="232"/>
  <c r="AC30" i="232" s="1"/>
  <c r="U30" i="232"/>
  <c r="Z34" i="232"/>
  <c r="AC34" i="232" s="1"/>
  <c r="U34" i="232"/>
  <c r="Z19" i="232"/>
  <c r="Z23" i="232"/>
  <c r="AC23" i="232" s="1"/>
  <c r="U23" i="232"/>
  <c r="Z27" i="232"/>
  <c r="AC27" i="232" s="1"/>
  <c r="U27" i="232"/>
  <c r="Z31" i="232"/>
  <c r="AC31" i="232" s="1"/>
  <c r="U31" i="232"/>
  <c r="Z35" i="232"/>
  <c r="U35" i="232"/>
  <c r="AC36" i="232"/>
  <c r="T13" i="232"/>
  <c r="AB13" i="232" s="1"/>
  <c r="S15" i="232"/>
  <c r="AA15" i="232" s="1"/>
  <c r="S8" i="232"/>
  <c r="AA8" i="232" s="1"/>
  <c r="R15" i="232"/>
  <c r="R8" i="232"/>
  <c r="T10" i="232"/>
  <c r="AB10" i="232" s="1"/>
  <c r="S13" i="232"/>
  <c r="AA13" i="232" s="1"/>
  <c r="T14" i="232"/>
  <c r="S7" i="232"/>
  <c r="T8" i="232"/>
  <c r="AB8" i="232" s="1"/>
  <c r="S11" i="232"/>
  <c r="AA11" i="232" s="1"/>
  <c r="S14" i="232"/>
  <c r="T15" i="232"/>
  <c r="AB15" i="232" s="1"/>
  <c r="S10" i="232"/>
  <c r="AA10" i="232" s="1"/>
  <c r="T11" i="232"/>
  <c r="AB11" i="232" s="1"/>
  <c r="T9" i="232"/>
  <c r="R10" i="232"/>
  <c r="R14" i="232"/>
  <c r="R13" i="232"/>
  <c r="T7" i="232"/>
  <c r="S18" i="232"/>
  <c r="AA18" i="232" s="1"/>
  <c r="R11" i="232"/>
  <c r="Z17" i="232"/>
  <c r="S9" i="232"/>
  <c r="S12" i="232"/>
  <c r="T12" i="232"/>
  <c r="Z18" i="232"/>
  <c r="R7" i="232"/>
  <c r="R9" i="232"/>
  <c r="R12" i="232"/>
  <c r="Z16" i="232"/>
  <c r="B14" i="244" l="1"/>
  <c r="AA7" i="232"/>
  <c r="Z8" i="232"/>
  <c r="AA14" i="232"/>
  <c r="AB14" i="232"/>
  <c r="Z15" i="232"/>
  <c r="Z14" i="232"/>
  <c r="Z11" i="232"/>
  <c r="AB7" i="232"/>
  <c r="AB9" i="232"/>
  <c r="AA12" i="232"/>
  <c r="Z12" i="232"/>
  <c r="Z7" i="232"/>
  <c r="Z13" i="232"/>
  <c r="Z10" i="232"/>
  <c r="Z9" i="232"/>
  <c r="AB12" i="232"/>
  <c r="AA9" i="232"/>
  <c r="Q13" i="50" l="1"/>
  <c r="Q14" i="50"/>
  <c r="Q16" i="50"/>
  <c r="E43" i="8"/>
  <c r="E45" i="8"/>
  <c r="D45" i="8"/>
  <c r="C45" i="8"/>
  <c r="B45" i="8"/>
  <c r="E44" i="8"/>
  <c r="D44" i="8"/>
  <c r="C44" i="8"/>
  <c r="B44" i="8"/>
  <c r="D43" i="8"/>
  <c r="C43" i="8"/>
  <c r="B43" i="8"/>
  <c r="D42" i="8"/>
  <c r="C42" i="8"/>
  <c r="B42" i="8"/>
  <c r="D41" i="8"/>
  <c r="C41" i="8"/>
  <c r="B41" i="8"/>
  <c r="F17" i="8"/>
  <c r="AC25" i="232"/>
  <c r="AC26" i="232"/>
  <c r="AC35" i="232"/>
  <c r="D51" i="8" l="1"/>
  <c r="G51" i="8"/>
  <c r="B51" i="8"/>
  <c r="C51" i="8"/>
  <c r="D40" i="232"/>
  <c r="B40" i="232"/>
  <c r="C40" i="232"/>
  <c r="C42" i="232"/>
  <c r="B42" i="232"/>
  <c r="D42" i="232"/>
  <c r="V18" i="143"/>
  <c r="W43" i="232"/>
  <c r="X43" i="232"/>
  <c r="Q12" i="50"/>
  <c r="AC22" i="232"/>
  <c r="M22" i="50"/>
  <c r="R22" i="50" s="1"/>
  <c r="U22" i="232"/>
  <c r="AC18" i="232"/>
  <c r="M18" i="50"/>
  <c r="R18" i="50" s="1"/>
  <c r="U18" i="232"/>
  <c r="H40" i="232"/>
  <c r="F40" i="232"/>
  <c r="G40" i="232"/>
  <c r="G41" i="232"/>
  <c r="H41" i="232"/>
  <c r="F41" i="232"/>
  <c r="H42" i="232"/>
  <c r="F42" i="232"/>
  <c r="G42" i="232"/>
  <c r="F43" i="232"/>
  <c r="G43" i="232"/>
  <c r="H43" i="232"/>
  <c r="C44" i="232"/>
  <c r="D44" i="232"/>
  <c r="B44" i="232"/>
  <c r="V19" i="143"/>
  <c r="W44" i="232"/>
  <c r="X44" i="232"/>
  <c r="AC19" i="232"/>
  <c r="M19" i="50"/>
  <c r="R19" i="50" s="1"/>
  <c r="U19" i="232"/>
  <c r="P44" i="232"/>
  <c r="N44" i="232"/>
  <c r="O44" i="232"/>
  <c r="K40" i="232"/>
  <c r="L40" i="232"/>
  <c r="J40" i="232"/>
  <c r="J41" i="232"/>
  <c r="K41" i="232"/>
  <c r="L41" i="232"/>
  <c r="L42" i="232"/>
  <c r="J42" i="232"/>
  <c r="K42" i="232"/>
  <c r="L43" i="232"/>
  <c r="J43" i="232"/>
  <c r="K43" i="232"/>
  <c r="H44" i="232"/>
  <c r="F44" i="232"/>
  <c r="G44" i="232"/>
  <c r="P42" i="232"/>
  <c r="O42" i="232"/>
  <c r="N42" i="232"/>
  <c r="C41" i="232"/>
  <c r="D41" i="232"/>
  <c r="B41" i="232"/>
  <c r="B43" i="232"/>
  <c r="C43" i="232"/>
  <c r="D43" i="232"/>
  <c r="AC21" i="232"/>
  <c r="M21" i="50"/>
  <c r="R21" i="50" s="1"/>
  <c r="U21" i="232"/>
  <c r="AC17" i="232"/>
  <c r="M17" i="50"/>
  <c r="R17" i="50" s="1"/>
  <c r="U17" i="232"/>
  <c r="AC20" i="232"/>
  <c r="M20" i="50"/>
  <c r="R20" i="50" s="1"/>
  <c r="U20" i="232"/>
  <c r="H17" i="8"/>
  <c r="AC16" i="232" s="1"/>
  <c r="M16" i="50"/>
  <c r="R16" i="50" s="1"/>
  <c r="U16" i="232"/>
  <c r="V20" i="143"/>
  <c r="X40" i="232"/>
  <c r="W40" i="232"/>
  <c r="V16" i="143"/>
  <c r="X41" i="232"/>
  <c r="W41" i="232"/>
  <c r="V17" i="143"/>
  <c r="W42" i="232"/>
  <c r="X42" i="232"/>
  <c r="O43" i="232"/>
  <c r="N43" i="232"/>
  <c r="P43" i="232"/>
  <c r="L44" i="232"/>
  <c r="K44" i="232"/>
  <c r="J44" i="232"/>
  <c r="Q15" i="50"/>
  <c r="E42" i="8"/>
  <c r="E41" i="8"/>
  <c r="F16" i="8"/>
  <c r="F12" i="8"/>
  <c r="F8" i="8"/>
  <c r="F9" i="8"/>
  <c r="F10" i="8"/>
  <c r="F14" i="8"/>
  <c r="F13" i="8"/>
  <c r="F11" i="8"/>
  <c r="F15" i="8"/>
  <c r="E51" i="8" l="1"/>
  <c r="Y43" i="232"/>
  <c r="Y49" i="232" s="1"/>
  <c r="P14" i="50"/>
  <c r="H14" i="8"/>
  <c r="AC13" i="232" s="1"/>
  <c r="M13" i="50"/>
  <c r="U13" i="232"/>
  <c r="H12" i="8"/>
  <c r="AC11" i="232" s="1"/>
  <c r="M11" i="50"/>
  <c r="U11" i="232"/>
  <c r="Y44" i="232"/>
  <c r="Y50" i="232" s="1"/>
  <c r="M12" i="50"/>
  <c r="U12" i="232"/>
  <c r="O41" i="232"/>
  <c r="N41" i="232"/>
  <c r="P41" i="232"/>
  <c r="M14" i="50"/>
  <c r="U14" i="232"/>
  <c r="H16" i="8"/>
  <c r="AC15" i="232" s="1"/>
  <c r="M15" i="50"/>
  <c r="R15" i="50" s="1"/>
  <c r="U15" i="232"/>
  <c r="Y41" i="232"/>
  <c r="Y47" i="232" s="1"/>
  <c r="M7" i="50"/>
  <c r="U7" i="232"/>
  <c r="M9" i="50"/>
  <c r="U9" i="232"/>
  <c r="Y40" i="232"/>
  <c r="Y46" i="232" s="1"/>
  <c r="H11" i="8"/>
  <c r="AC10" i="232" s="1"/>
  <c r="M10" i="50"/>
  <c r="U10" i="232"/>
  <c r="H9" i="8"/>
  <c r="AC8" i="232" s="1"/>
  <c r="M8" i="50"/>
  <c r="U8" i="232"/>
  <c r="P40" i="232"/>
  <c r="N40" i="232"/>
  <c r="O40" i="232"/>
  <c r="Y42" i="232"/>
  <c r="Y48" i="232" s="1"/>
  <c r="I44" i="232"/>
  <c r="I50" i="232" s="1"/>
  <c r="E44" i="232"/>
  <c r="E50" i="232" s="1"/>
  <c r="H15" i="8"/>
  <c r="F45" i="8"/>
  <c r="H13" i="8"/>
  <c r="F44" i="8"/>
  <c r="H10" i="8"/>
  <c r="F43" i="8"/>
  <c r="H8" i="8"/>
  <c r="AC7" i="232" s="1"/>
  <c r="F42" i="8"/>
  <c r="F41" i="8"/>
  <c r="AE8" i="50"/>
  <c r="AE9" i="50"/>
  <c r="AE10" i="50"/>
  <c r="AE11" i="50"/>
  <c r="AE12" i="50"/>
  <c r="AE13" i="50"/>
  <c r="AE14" i="50"/>
  <c r="AE15" i="50"/>
  <c r="AE16" i="50"/>
  <c r="AE17" i="50"/>
  <c r="AE18" i="50"/>
  <c r="AE19" i="50"/>
  <c r="AE20" i="50"/>
  <c r="AE21" i="50"/>
  <c r="AE22" i="50"/>
  <c r="AD23" i="50"/>
  <c r="AE23" i="50"/>
  <c r="AD24" i="50"/>
  <c r="AE24" i="50"/>
  <c r="AD25" i="50"/>
  <c r="AE25" i="50"/>
  <c r="AE26" i="50"/>
  <c r="AD27" i="50"/>
  <c r="AE27" i="50"/>
  <c r="AD28" i="50"/>
  <c r="AF28" i="50" s="1"/>
  <c r="AE28" i="50"/>
  <c r="AD29" i="50"/>
  <c r="AE29" i="50"/>
  <c r="AD30" i="50"/>
  <c r="AF30" i="50" s="1"/>
  <c r="AE30" i="50"/>
  <c r="AE31" i="50"/>
  <c r="AD32" i="50"/>
  <c r="AE32" i="50"/>
  <c r="AD33" i="50"/>
  <c r="AE33" i="50"/>
  <c r="AD34" i="50"/>
  <c r="AE34" i="50"/>
  <c r="AD35" i="50"/>
  <c r="AE35" i="50"/>
  <c r="AD36" i="50"/>
  <c r="AE36" i="50"/>
  <c r="AD37" i="50"/>
  <c r="AE37" i="50"/>
  <c r="AE7" i="50"/>
  <c r="H14" i="50"/>
  <c r="H15" i="50"/>
  <c r="H16" i="50"/>
  <c r="H18" i="50"/>
  <c r="H19" i="50"/>
  <c r="H20" i="50"/>
  <c r="H21" i="50"/>
  <c r="H22" i="50"/>
  <c r="H23" i="50"/>
  <c r="H24" i="50"/>
  <c r="H25" i="50"/>
  <c r="H26" i="50"/>
  <c r="H27" i="50"/>
  <c r="H28" i="50"/>
  <c r="H29" i="50"/>
  <c r="H30" i="50"/>
  <c r="H31" i="50"/>
  <c r="H32" i="50"/>
  <c r="H33" i="50"/>
  <c r="H34" i="50"/>
  <c r="H35" i="50"/>
  <c r="H36" i="50"/>
  <c r="H37" i="50"/>
  <c r="AF29" i="50" l="1"/>
  <c r="AF27" i="50"/>
  <c r="AF36" i="50"/>
  <c r="AF34" i="50"/>
  <c r="AF32" i="50"/>
  <c r="AF25" i="50"/>
  <c r="AF23" i="50"/>
  <c r="AF37" i="50"/>
  <c r="AF35" i="50"/>
  <c r="AF33" i="50"/>
  <c r="AF24" i="50"/>
  <c r="R14" i="50"/>
  <c r="F51" i="8"/>
  <c r="O11" i="50"/>
  <c r="V11" i="143"/>
  <c r="V24" i="143" s="1"/>
  <c r="R42" i="232"/>
  <c r="C9" i="233" s="1"/>
  <c r="S42" i="232"/>
  <c r="C10" i="233" s="1"/>
  <c r="T42" i="232"/>
  <c r="C11" i="233" s="1"/>
  <c r="V13" i="143"/>
  <c r="V26" i="143" s="1"/>
  <c r="R44" i="232"/>
  <c r="E9" i="233" s="1"/>
  <c r="S44" i="232"/>
  <c r="E10" i="233" s="1"/>
  <c r="T44" i="232"/>
  <c r="E11" i="233" s="1"/>
  <c r="M39" i="50"/>
  <c r="H44" i="8"/>
  <c r="AC12" i="232"/>
  <c r="V14" i="143"/>
  <c r="S40" i="232"/>
  <c r="F10" i="233" s="1"/>
  <c r="R40" i="232"/>
  <c r="F9" i="233" s="1"/>
  <c r="T40" i="232"/>
  <c r="F11" i="233" s="1"/>
  <c r="H43" i="8"/>
  <c r="AC9" i="232"/>
  <c r="H45" i="8"/>
  <c r="AC14" i="232"/>
  <c r="V10" i="143"/>
  <c r="V23" i="143" s="1"/>
  <c r="T41" i="232"/>
  <c r="B11" i="233" s="1"/>
  <c r="R41" i="232"/>
  <c r="B9" i="233" s="1"/>
  <c r="S41" i="232"/>
  <c r="B10" i="233" s="1"/>
  <c r="V12" i="143"/>
  <c r="V25" i="143" s="1"/>
  <c r="S43" i="232"/>
  <c r="D10" i="233" s="1"/>
  <c r="R43" i="232"/>
  <c r="D9" i="233" s="1"/>
  <c r="T43" i="232"/>
  <c r="D11" i="233" s="1"/>
  <c r="AE39" i="50"/>
  <c r="H42" i="8"/>
  <c r="H41" i="8"/>
  <c r="D24" i="19"/>
  <c r="X8" i="228"/>
  <c r="X9" i="228"/>
  <c r="X10" i="228"/>
  <c r="X11" i="228"/>
  <c r="X12" i="228"/>
  <c r="X13" i="228"/>
  <c r="X14" i="228"/>
  <c r="X15" i="228"/>
  <c r="X16" i="228"/>
  <c r="X17" i="228"/>
  <c r="X18" i="228"/>
  <c r="X19" i="228"/>
  <c r="X20" i="228"/>
  <c r="X21" i="228"/>
  <c r="X22" i="228"/>
  <c r="X23" i="228"/>
  <c r="X24" i="228"/>
  <c r="X25" i="228"/>
  <c r="X26" i="228"/>
  <c r="X27" i="228"/>
  <c r="X28" i="228"/>
  <c r="X29" i="228"/>
  <c r="X30" i="228"/>
  <c r="X31" i="228"/>
  <c r="X32" i="228"/>
  <c r="X33" i="228"/>
  <c r="X34" i="228"/>
  <c r="X35" i="228"/>
  <c r="X36" i="228"/>
  <c r="X37" i="228"/>
  <c r="X7" i="228"/>
  <c r="W8" i="228"/>
  <c r="W9" i="228"/>
  <c r="W10" i="228"/>
  <c r="W11" i="228"/>
  <c r="W12" i="228"/>
  <c r="W13" i="228"/>
  <c r="W14" i="228"/>
  <c r="W15" i="228"/>
  <c r="W16" i="228"/>
  <c r="W17" i="228"/>
  <c r="W18" i="228"/>
  <c r="W19" i="228"/>
  <c r="W20" i="228"/>
  <c r="W21" i="228"/>
  <c r="W22" i="228"/>
  <c r="W23" i="228"/>
  <c r="W24" i="228"/>
  <c r="W25" i="228"/>
  <c r="W26" i="228"/>
  <c r="W27" i="228"/>
  <c r="W28" i="228"/>
  <c r="W29" i="228"/>
  <c r="W30" i="228"/>
  <c r="W31" i="228"/>
  <c r="W32" i="228"/>
  <c r="W33" i="228"/>
  <c r="W34" i="228"/>
  <c r="W35" i="228"/>
  <c r="W36" i="228"/>
  <c r="W37" i="228"/>
  <c r="W7" i="228"/>
  <c r="V8" i="228"/>
  <c r="V9" i="228"/>
  <c r="V10" i="228"/>
  <c r="V11" i="228"/>
  <c r="V12" i="228"/>
  <c r="V13" i="228"/>
  <c r="V14" i="228"/>
  <c r="V15" i="228"/>
  <c r="V16" i="228"/>
  <c r="V17" i="228"/>
  <c r="V18" i="228"/>
  <c r="V19" i="228"/>
  <c r="V20" i="228"/>
  <c r="V21" i="228"/>
  <c r="V22" i="228"/>
  <c r="V23" i="228"/>
  <c r="V24" i="228"/>
  <c r="V25" i="228"/>
  <c r="V26" i="228"/>
  <c r="V27" i="228"/>
  <c r="V28" i="228"/>
  <c r="V29" i="228"/>
  <c r="V30" i="228"/>
  <c r="V31" i="228"/>
  <c r="V32" i="228"/>
  <c r="V33" i="228"/>
  <c r="V34" i="228"/>
  <c r="V35" i="228"/>
  <c r="V36" i="228"/>
  <c r="V37" i="228"/>
  <c r="V7" i="228"/>
  <c r="P8" i="228"/>
  <c r="P9" i="228"/>
  <c r="P10" i="228"/>
  <c r="P11" i="228"/>
  <c r="P12" i="228"/>
  <c r="P13" i="228"/>
  <c r="P14" i="228"/>
  <c r="P15" i="228"/>
  <c r="P16" i="228"/>
  <c r="P17" i="228"/>
  <c r="P18" i="228"/>
  <c r="P19" i="228"/>
  <c r="P20" i="228"/>
  <c r="P21" i="228"/>
  <c r="P22" i="228"/>
  <c r="P23" i="228"/>
  <c r="P24" i="228"/>
  <c r="P25" i="228"/>
  <c r="P26" i="228"/>
  <c r="P27" i="228"/>
  <c r="P28" i="228"/>
  <c r="P29" i="228"/>
  <c r="P30" i="228"/>
  <c r="P31" i="228"/>
  <c r="P32" i="228"/>
  <c r="P33" i="228"/>
  <c r="P34" i="228"/>
  <c r="P35" i="228"/>
  <c r="P36" i="228"/>
  <c r="P37" i="228"/>
  <c r="P7" i="228"/>
  <c r="O8" i="228"/>
  <c r="O9" i="228"/>
  <c r="O10" i="228"/>
  <c r="O11" i="228"/>
  <c r="O12" i="228"/>
  <c r="O13" i="228"/>
  <c r="O14" i="228"/>
  <c r="O15" i="228"/>
  <c r="O16" i="228"/>
  <c r="O17" i="228"/>
  <c r="O18" i="228"/>
  <c r="O19" i="228"/>
  <c r="O20" i="228"/>
  <c r="O21" i="228"/>
  <c r="O22" i="228"/>
  <c r="O23" i="228"/>
  <c r="O24" i="228"/>
  <c r="O25" i="228"/>
  <c r="O26" i="228"/>
  <c r="O27" i="228"/>
  <c r="O28" i="228"/>
  <c r="O29" i="228"/>
  <c r="O30" i="228"/>
  <c r="O31" i="228"/>
  <c r="O32" i="228"/>
  <c r="O33" i="228"/>
  <c r="O34" i="228"/>
  <c r="O35" i="228"/>
  <c r="O36" i="228"/>
  <c r="O37" i="228"/>
  <c r="O7" i="228"/>
  <c r="N8" i="228"/>
  <c r="N9" i="228"/>
  <c r="N10" i="228"/>
  <c r="N11" i="228"/>
  <c r="N12" i="228"/>
  <c r="N13" i="228"/>
  <c r="N14" i="228"/>
  <c r="N15" i="228"/>
  <c r="N16" i="228"/>
  <c r="N17" i="228"/>
  <c r="N18" i="228"/>
  <c r="N19" i="228"/>
  <c r="N20" i="228"/>
  <c r="N21" i="228"/>
  <c r="N22" i="228"/>
  <c r="N23" i="228"/>
  <c r="N24" i="228"/>
  <c r="N25" i="228"/>
  <c r="N26" i="228"/>
  <c r="N27" i="228"/>
  <c r="N28" i="228"/>
  <c r="N29" i="228"/>
  <c r="N30" i="228"/>
  <c r="N31" i="228"/>
  <c r="N32" i="228"/>
  <c r="N33" i="228"/>
  <c r="N34" i="228"/>
  <c r="N35" i="228"/>
  <c r="Q35" i="228" s="1"/>
  <c r="N36" i="228"/>
  <c r="N37" i="228"/>
  <c r="N7" i="228"/>
  <c r="L8" i="228"/>
  <c r="L9" i="228"/>
  <c r="L10" i="228"/>
  <c r="L11" i="228"/>
  <c r="L12" i="228"/>
  <c r="L13" i="228"/>
  <c r="L14" i="228"/>
  <c r="L15" i="228"/>
  <c r="L16" i="228"/>
  <c r="L17" i="228"/>
  <c r="L18" i="228"/>
  <c r="L19" i="228"/>
  <c r="L20" i="228"/>
  <c r="L21" i="228"/>
  <c r="L22" i="228"/>
  <c r="L23" i="228"/>
  <c r="L24" i="228"/>
  <c r="L25" i="228"/>
  <c r="L26" i="228"/>
  <c r="L27" i="228"/>
  <c r="L28" i="228"/>
  <c r="L29" i="228"/>
  <c r="L30" i="228"/>
  <c r="L31" i="228"/>
  <c r="L32" i="228"/>
  <c r="L33" i="228"/>
  <c r="L34" i="228"/>
  <c r="L35" i="228"/>
  <c r="L36" i="228"/>
  <c r="T36" i="228" s="1"/>
  <c r="L37" i="228"/>
  <c r="L7" i="228"/>
  <c r="K8" i="228"/>
  <c r="K9" i="228"/>
  <c r="K10" i="228"/>
  <c r="K11" i="228"/>
  <c r="K12" i="228"/>
  <c r="K13" i="228"/>
  <c r="K14" i="228"/>
  <c r="K15" i="228"/>
  <c r="K16" i="228"/>
  <c r="K17" i="228"/>
  <c r="K18" i="228"/>
  <c r="K19" i="228"/>
  <c r="K20" i="228"/>
  <c r="K21" i="228"/>
  <c r="K22" i="228"/>
  <c r="K23" i="228"/>
  <c r="K24" i="228"/>
  <c r="K25" i="228"/>
  <c r="K26" i="228"/>
  <c r="K27" i="228"/>
  <c r="K28" i="228"/>
  <c r="K29" i="228"/>
  <c r="K30" i="228"/>
  <c r="K31" i="228"/>
  <c r="K32" i="228"/>
  <c r="K33" i="228"/>
  <c r="K34" i="228"/>
  <c r="K35" i="228"/>
  <c r="K36" i="228"/>
  <c r="K37" i="228"/>
  <c r="S37" i="228" s="1"/>
  <c r="K7" i="228"/>
  <c r="J8" i="228"/>
  <c r="J9" i="228"/>
  <c r="J10" i="228"/>
  <c r="J11" i="228"/>
  <c r="J12" i="228"/>
  <c r="J13" i="228"/>
  <c r="J14" i="228"/>
  <c r="J15" i="228"/>
  <c r="J16" i="228"/>
  <c r="J17" i="228"/>
  <c r="J18" i="228"/>
  <c r="J19" i="228"/>
  <c r="J20" i="228"/>
  <c r="J21" i="228"/>
  <c r="J22" i="228"/>
  <c r="J23" i="228"/>
  <c r="J24" i="228"/>
  <c r="J25" i="228"/>
  <c r="J26" i="228"/>
  <c r="J27" i="228"/>
  <c r="J28" i="228"/>
  <c r="J29" i="228"/>
  <c r="J30" i="228"/>
  <c r="J31" i="228"/>
  <c r="J32" i="228"/>
  <c r="J33" i="228"/>
  <c r="J34" i="228"/>
  <c r="M34" i="228" s="1"/>
  <c r="J35" i="228"/>
  <c r="J36" i="228"/>
  <c r="J37" i="228"/>
  <c r="J7" i="228"/>
  <c r="H8" i="228"/>
  <c r="H9" i="228"/>
  <c r="H10" i="228"/>
  <c r="H11" i="228"/>
  <c r="H12" i="228"/>
  <c r="H13" i="228"/>
  <c r="H14" i="228"/>
  <c r="H15" i="228"/>
  <c r="H16" i="228"/>
  <c r="H17" i="228"/>
  <c r="H7" i="228"/>
  <c r="G8" i="228"/>
  <c r="G9" i="228"/>
  <c r="G10" i="228"/>
  <c r="G11" i="228"/>
  <c r="G12" i="228"/>
  <c r="G13" i="228"/>
  <c r="G14" i="228"/>
  <c r="G15" i="228"/>
  <c r="G16" i="228"/>
  <c r="G17" i="228"/>
  <c r="G7" i="228"/>
  <c r="F8" i="228"/>
  <c r="F9" i="228"/>
  <c r="F10" i="228"/>
  <c r="F11" i="228"/>
  <c r="F12" i="228"/>
  <c r="F13" i="228"/>
  <c r="F14" i="228"/>
  <c r="F15" i="228"/>
  <c r="F16" i="228"/>
  <c r="F17" i="228"/>
  <c r="I33" i="228"/>
  <c r="I34" i="228"/>
  <c r="I37" i="228"/>
  <c r="F7" i="228"/>
  <c r="D8" i="228"/>
  <c r="D9" i="228"/>
  <c r="D10" i="228"/>
  <c r="D11" i="228"/>
  <c r="D12" i="228"/>
  <c r="D13" i="228"/>
  <c r="D14" i="228"/>
  <c r="D15" i="228"/>
  <c r="D16" i="228"/>
  <c r="D7" i="228"/>
  <c r="C8" i="228"/>
  <c r="C9" i="228"/>
  <c r="C10" i="228"/>
  <c r="C11" i="228"/>
  <c r="C12" i="228"/>
  <c r="C13" i="228"/>
  <c r="C14" i="228"/>
  <c r="C15" i="228"/>
  <c r="C16" i="228"/>
  <c r="C7" i="228"/>
  <c r="B8" i="228"/>
  <c r="B9" i="228"/>
  <c r="B10" i="228"/>
  <c r="B11" i="228"/>
  <c r="B12" i="228"/>
  <c r="B13" i="228"/>
  <c r="B14" i="228"/>
  <c r="B15" i="228"/>
  <c r="B16" i="228"/>
  <c r="E32" i="228"/>
  <c r="E33" i="228"/>
  <c r="E36" i="228"/>
  <c r="B7" i="228"/>
  <c r="A15" i="230"/>
  <c r="A15" i="229"/>
  <c r="F8" i="227"/>
  <c r="AD9" i="50" s="1"/>
  <c r="AF9" i="50" s="1"/>
  <c r="AD10" i="50"/>
  <c r="AF10" i="50" s="1"/>
  <c r="AD11" i="50"/>
  <c r="AF11" i="50" s="1"/>
  <c r="AD12" i="50"/>
  <c r="AF12" i="50" s="1"/>
  <c r="AD13" i="50"/>
  <c r="AF13" i="50" s="1"/>
  <c r="AD14" i="50"/>
  <c r="AF14" i="50" s="1"/>
  <c r="AD15" i="50"/>
  <c r="AF15" i="50" s="1"/>
  <c r="AD16" i="50"/>
  <c r="AF16" i="50" s="1"/>
  <c r="AD17" i="50"/>
  <c r="AF17" i="50" s="1"/>
  <c r="AD18" i="50"/>
  <c r="AF18" i="50" s="1"/>
  <c r="AD19" i="50"/>
  <c r="AF19" i="50" s="1"/>
  <c r="F19" i="227"/>
  <c r="AD20" i="50" s="1"/>
  <c r="AF20" i="50" s="1"/>
  <c r="AD21" i="50"/>
  <c r="AF21" i="50" s="1"/>
  <c r="AD22" i="50"/>
  <c r="AF22" i="50" s="1"/>
  <c r="BT11" i="64"/>
  <c r="H17" i="50"/>
  <c r="H13" i="50"/>
  <c r="H12" i="50"/>
  <c r="H11" i="50"/>
  <c r="H10" i="50"/>
  <c r="H9" i="50"/>
  <c r="H8" i="50"/>
  <c r="M35" i="228" l="1"/>
  <c r="Q36" i="228"/>
  <c r="Q32" i="228"/>
  <c r="D20" i="233"/>
  <c r="B20" i="233"/>
  <c r="C20" i="233"/>
  <c r="D21" i="233"/>
  <c r="B22" i="233"/>
  <c r="F21" i="233"/>
  <c r="E20" i="233"/>
  <c r="E22" i="233"/>
  <c r="C22" i="233"/>
  <c r="F20" i="233"/>
  <c r="D22" i="233"/>
  <c r="B21" i="233"/>
  <c r="F22" i="233"/>
  <c r="E21" i="233"/>
  <c r="C21" i="233"/>
  <c r="H51" i="8"/>
  <c r="F11" i="234"/>
  <c r="F22" i="234" s="1"/>
  <c r="D11" i="234"/>
  <c r="D22" i="234" s="1"/>
  <c r="B10" i="234"/>
  <c r="B21" i="234" s="1"/>
  <c r="E11" i="234"/>
  <c r="E22" i="234" s="1"/>
  <c r="C11" i="234"/>
  <c r="C22" i="234" s="1"/>
  <c r="F9" i="234"/>
  <c r="F20" i="234" s="1"/>
  <c r="D9" i="234"/>
  <c r="D20" i="234" s="1"/>
  <c r="B9" i="234"/>
  <c r="B20" i="234" s="1"/>
  <c r="F10" i="234"/>
  <c r="F21" i="234" s="1"/>
  <c r="E10" i="234"/>
  <c r="E21" i="234" s="1"/>
  <c r="C10" i="234"/>
  <c r="C21" i="234" s="1"/>
  <c r="D10" i="234"/>
  <c r="D21" i="234" s="1"/>
  <c r="B11" i="234"/>
  <c r="B22" i="234" s="1"/>
  <c r="E9" i="234"/>
  <c r="E20" i="234" s="1"/>
  <c r="C9" i="234"/>
  <c r="C20" i="234" s="1"/>
  <c r="V27" i="143"/>
  <c r="AA37" i="228"/>
  <c r="AB36" i="228"/>
  <c r="Y36" i="228"/>
  <c r="Y32" i="228"/>
  <c r="AD31" i="50"/>
  <c r="AF31" i="50" s="1"/>
  <c r="Z42" i="232"/>
  <c r="M9" i="233" s="1"/>
  <c r="AA42" i="232"/>
  <c r="M10" i="233" s="1"/>
  <c r="AB42" i="232"/>
  <c r="M11" i="233" s="1"/>
  <c r="AD26" i="50"/>
  <c r="AF26" i="50" s="1"/>
  <c r="E29" i="228"/>
  <c r="E25" i="228"/>
  <c r="M27" i="228"/>
  <c r="Y37" i="228"/>
  <c r="Y33" i="228"/>
  <c r="Z40" i="232"/>
  <c r="P9" i="233" s="1"/>
  <c r="AB40" i="232"/>
  <c r="P11" i="233" s="1"/>
  <c r="AA40" i="232"/>
  <c r="P10" i="233" s="1"/>
  <c r="Z43" i="232"/>
  <c r="N9" i="233" s="1"/>
  <c r="AA43" i="232"/>
  <c r="N10" i="233" s="1"/>
  <c r="AB43" i="232"/>
  <c r="N11" i="233" s="1"/>
  <c r="AA41" i="232"/>
  <c r="L10" i="233" s="1"/>
  <c r="AB41" i="232"/>
  <c r="L11" i="233" s="1"/>
  <c r="Z41" i="232"/>
  <c r="L9" i="233" s="1"/>
  <c r="AA44" i="232"/>
  <c r="O10" i="233" s="1"/>
  <c r="AB44" i="232"/>
  <c r="O11" i="233" s="1"/>
  <c r="Z44" i="232"/>
  <c r="O9" i="233" s="1"/>
  <c r="M7" i="228"/>
  <c r="M30" i="228"/>
  <c r="M26" i="228"/>
  <c r="M22" i="228"/>
  <c r="M18" i="228"/>
  <c r="M14" i="228"/>
  <c r="M10" i="228"/>
  <c r="Q27" i="228"/>
  <c r="Q11" i="228"/>
  <c r="E24" i="228"/>
  <c r="T29" i="228"/>
  <c r="AB29" i="228" s="1"/>
  <c r="T20" i="228"/>
  <c r="AB20" i="228" s="1"/>
  <c r="E21" i="228"/>
  <c r="E17" i="228"/>
  <c r="E13" i="228"/>
  <c r="M31" i="228"/>
  <c r="M19" i="228"/>
  <c r="M15" i="228"/>
  <c r="M11" i="228"/>
  <c r="R12" i="228"/>
  <c r="E35" i="228"/>
  <c r="E27" i="228"/>
  <c r="I36" i="228"/>
  <c r="I32" i="228"/>
  <c r="I28" i="228"/>
  <c r="I24" i="228"/>
  <c r="I20" i="228"/>
  <c r="I16" i="228"/>
  <c r="I12" i="228"/>
  <c r="I8" i="228"/>
  <c r="M37" i="228"/>
  <c r="M33" i="228"/>
  <c r="Q7" i="228"/>
  <c r="Q34" i="228"/>
  <c r="Q30" i="228"/>
  <c r="Q26" i="228"/>
  <c r="Q22" i="228"/>
  <c r="Q18" i="228"/>
  <c r="Q14" i="228"/>
  <c r="Q10" i="228"/>
  <c r="Y35" i="228"/>
  <c r="Y31" i="228"/>
  <c r="Y27" i="228"/>
  <c r="Y23" i="228"/>
  <c r="Y19" i="228"/>
  <c r="Y15" i="228"/>
  <c r="R36" i="228"/>
  <c r="Z36" i="228" s="1"/>
  <c r="E7" i="228"/>
  <c r="E34" i="228"/>
  <c r="E30" i="228"/>
  <c r="E26" i="228"/>
  <c r="E22" i="228"/>
  <c r="E14" i="228"/>
  <c r="I35" i="228"/>
  <c r="I31" i="228"/>
  <c r="I27" i="228"/>
  <c r="I23" i="228"/>
  <c r="I15" i="228"/>
  <c r="I11" i="228"/>
  <c r="S34" i="228"/>
  <c r="AA34" i="228" s="1"/>
  <c r="S30" i="228"/>
  <c r="S14" i="228"/>
  <c r="AA14" i="228" s="1"/>
  <c r="S10" i="228"/>
  <c r="AA10" i="228" s="1"/>
  <c r="T33" i="228"/>
  <c r="AB33" i="228" s="1"/>
  <c r="T25" i="228"/>
  <c r="AB25" i="228" s="1"/>
  <c r="T13" i="228"/>
  <c r="AB13" i="228" s="1"/>
  <c r="T9" i="228"/>
  <c r="AB9" i="228" s="1"/>
  <c r="M36" i="228"/>
  <c r="M32" i="228"/>
  <c r="Q37" i="228"/>
  <c r="Q33" i="228"/>
  <c r="Y34" i="228"/>
  <c r="Y25" i="228"/>
  <c r="Y9" i="228"/>
  <c r="R37" i="228"/>
  <c r="S36" i="228"/>
  <c r="AA36" i="228" s="1"/>
  <c r="E28" i="228"/>
  <c r="S8" i="228"/>
  <c r="AA8" i="228" s="1"/>
  <c r="E23" i="228"/>
  <c r="R25" i="228"/>
  <c r="E16" i="228"/>
  <c r="M29" i="228"/>
  <c r="M25" i="228"/>
  <c r="M21" i="228"/>
  <c r="M17" i="228"/>
  <c r="M13" i="228"/>
  <c r="M9" i="228"/>
  <c r="S28" i="228"/>
  <c r="AA28" i="228" s="1"/>
  <c r="S24" i="228"/>
  <c r="AA24" i="228" s="1"/>
  <c r="M23" i="228"/>
  <c r="T34" i="228"/>
  <c r="AB34" i="228" s="1"/>
  <c r="Y21" i="228"/>
  <c r="Y17" i="228"/>
  <c r="R14" i="228"/>
  <c r="E31" i="228"/>
  <c r="E19" i="228"/>
  <c r="E15" i="228"/>
  <c r="S26" i="228"/>
  <c r="AA26" i="228" s="1"/>
  <c r="S22" i="228"/>
  <c r="AA22" i="228" s="1"/>
  <c r="S18" i="228"/>
  <c r="AA18" i="228" s="1"/>
  <c r="T21" i="228"/>
  <c r="AB21" i="228" s="1"/>
  <c r="T17" i="228"/>
  <c r="AB17" i="228" s="1"/>
  <c r="I29" i="228"/>
  <c r="I25" i="228"/>
  <c r="I21" i="228"/>
  <c r="I17" i="228"/>
  <c r="I13" i="228"/>
  <c r="I9" i="228"/>
  <c r="Q31" i="228"/>
  <c r="Q23" i="228"/>
  <c r="Q19" i="228"/>
  <c r="Q15" i="228"/>
  <c r="E37" i="228"/>
  <c r="R29" i="228"/>
  <c r="I19" i="228"/>
  <c r="T22" i="228"/>
  <c r="AB22" i="228" s="1"/>
  <c r="S9" i="228"/>
  <c r="AA9" i="228" s="1"/>
  <c r="T12" i="228"/>
  <c r="AB12" i="228" s="1"/>
  <c r="Y29" i="228"/>
  <c r="Y13" i="228"/>
  <c r="AA30" i="228"/>
  <c r="Y30" i="228"/>
  <c r="Y26" i="228"/>
  <c r="Y22" i="228"/>
  <c r="Y18" i="228"/>
  <c r="Y14" i="228"/>
  <c r="Y10" i="228"/>
  <c r="Y28" i="228"/>
  <c r="Y24" i="228"/>
  <c r="Y20" i="228"/>
  <c r="Y16" i="228"/>
  <c r="Y12" i="228"/>
  <c r="R9" i="228"/>
  <c r="S20" i="228"/>
  <c r="AA20" i="228" s="1"/>
  <c r="S16" i="228"/>
  <c r="AA16" i="228" s="1"/>
  <c r="S12" i="228"/>
  <c r="AA12" i="228" s="1"/>
  <c r="M28" i="228"/>
  <c r="M24" i="228"/>
  <c r="M20" i="228"/>
  <c r="M16" i="228"/>
  <c r="M12" i="228"/>
  <c r="M8" i="228"/>
  <c r="Q29" i="228"/>
  <c r="Q25" i="228"/>
  <c r="Q21" i="228"/>
  <c r="Q17" i="228"/>
  <c r="Q13" i="228"/>
  <c r="Q9" i="228"/>
  <c r="R13" i="228"/>
  <c r="R17" i="228"/>
  <c r="R24" i="228"/>
  <c r="R28" i="228"/>
  <c r="R20" i="228"/>
  <c r="R8" i="228"/>
  <c r="T18" i="228"/>
  <c r="AB18" i="228" s="1"/>
  <c r="T14" i="228"/>
  <c r="AB14" i="228" s="1"/>
  <c r="I7" i="228"/>
  <c r="I30" i="228"/>
  <c r="I26" i="228"/>
  <c r="I22" i="228"/>
  <c r="I18" i="228"/>
  <c r="I14" i="228"/>
  <c r="I10" i="228"/>
  <c r="S29" i="228"/>
  <c r="AA29" i="228" s="1"/>
  <c r="S25" i="228"/>
  <c r="AA25" i="228" s="1"/>
  <c r="T8" i="228"/>
  <c r="AB8" i="228" s="1"/>
  <c r="Q28" i="228"/>
  <c r="Q24" i="228"/>
  <c r="Q20" i="228"/>
  <c r="Q16" i="228"/>
  <c r="Q12" i="228"/>
  <c r="Q8" i="228"/>
  <c r="R18" i="228"/>
  <c r="T23" i="228"/>
  <c r="AB23" i="228" s="1"/>
  <c r="E18" i="228"/>
  <c r="T16" i="228"/>
  <c r="AB16" i="228" s="1"/>
  <c r="S13" i="228"/>
  <c r="AA13" i="228" s="1"/>
  <c r="S21" i="228"/>
  <c r="AA21" i="228" s="1"/>
  <c r="Y8" i="228"/>
  <c r="V41" i="228"/>
  <c r="V40" i="228"/>
  <c r="V39" i="228"/>
  <c r="Y11" i="228"/>
  <c r="Y7" i="228"/>
  <c r="R10" i="228"/>
  <c r="S17" i="228"/>
  <c r="AA17" i="228" s="1"/>
  <c r="T28" i="228"/>
  <c r="AB28" i="228" s="1"/>
  <c r="T24" i="228"/>
  <c r="AB24" i="228" s="1"/>
  <c r="S23" i="228"/>
  <c r="AA23" i="228" s="1"/>
  <c r="S27" i="228"/>
  <c r="AA27" i="228" s="1"/>
  <c r="T30" i="228"/>
  <c r="AB30" i="228" s="1"/>
  <c r="R26" i="228"/>
  <c r="E20" i="228"/>
  <c r="R16" i="228"/>
  <c r="E12" i="228"/>
  <c r="T26" i="228"/>
  <c r="AB26" i="228" s="1"/>
  <c r="R21" i="228"/>
  <c r="H19" i="227"/>
  <c r="S19" i="228"/>
  <c r="AA19" i="228" s="1"/>
  <c r="T15" i="228"/>
  <c r="AB15" i="228" s="1"/>
  <c r="S15" i="228"/>
  <c r="AA15" i="228" s="1"/>
  <c r="S11" i="228"/>
  <c r="E11" i="228"/>
  <c r="E10" i="228"/>
  <c r="E9" i="228"/>
  <c r="H8" i="227"/>
  <c r="E8" i="228"/>
  <c r="D40" i="228"/>
  <c r="B40" i="228"/>
  <c r="C40" i="228"/>
  <c r="T10" i="228"/>
  <c r="AB10" i="228" s="1"/>
  <c r="S31" i="228"/>
  <c r="AA31" i="228" s="1"/>
  <c r="T35" i="228"/>
  <c r="AB35" i="228" s="1"/>
  <c r="T31" i="228"/>
  <c r="AB31" i="228" s="1"/>
  <c r="T27" i="228"/>
  <c r="AB27" i="228" s="1"/>
  <c r="T19" i="228"/>
  <c r="AB19" i="228" s="1"/>
  <c r="T11" i="228"/>
  <c r="R22" i="228"/>
  <c r="R27" i="228"/>
  <c r="R23" i="228"/>
  <c r="R19" i="228"/>
  <c r="R15" i="228"/>
  <c r="Z37" i="228"/>
  <c r="R32" i="228"/>
  <c r="S32" i="228"/>
  <c r="AA32" i="228" s="1"/>
  <c r="R7" i="228"/>
  <c r="R11" i="228"/>
  <c r="T32" i="228"/>
  <c r="AB32" i="228" s="1"/>
  <c r="R33" i="228"/>
  <c r="T37" i="228"/>
  <c r="AB37" i="228" s="1"/>
  <c r="S33" i="228"/>
  <c r="AA33" i="228" s="1"/>
  <c r="S35" i="228"/>
  <c r="AA35" i="228" s="1"/>
  <c r="S7" i="228"/>
  <c r="R30" i="228"/>
  <c r="R34" i="228"/>
  <c r="T7" i="228"/>
  <c r="R31" i="228"/>
  <c r="R35" i="228"/>
  <c r="E40" i="227"/>
  <c r="O41" i="228" s="1"/>
  <c r="E39" i="227"/>
  <c r="O40" i="228" s="1"/>
  <c r="J41" i="228"/>
  <c r="J39" i="228"/>
  <c r="C40" i="227"/>
  <c r="H41" i="228" s="1"/>
  <c r="C39" i="227"/>
  <c r="F40" i="228" s="1"/>
  <c r="C38" i="227"/>
  <c r="H39" i="228" s="1"/>
  <c r="K40" i="228"/>
  <c r="F7" i="227"/>
  <c r="E38" i="227"/>
  <c r="N39" i="228" s="1"/>
  <c r="B41" i="228"/>
  <c r="B39" i="228"/>
  <c r="AD7" i="50"/>
  <c r="AF7" i="50" s="1"/>
  <c r="D35" i="244" l="1"/>
  <c r="F35" i="244" s="1"/>
  <c r="L21" i="233"/>
  <c r="O21" i="233"/>
  <c r="N22" i="233"/>
  <c r="P22" i="233"/>
  <c r="M22" i="233"/>
  <c r="P21" i="233"/>
  <c r="L20" i="233"/>
  <c r="N21" i="233"/>
  <c r="P20" i="233"/>
  <c r="M21" i="233"/>
  <c r="O22" i="233"/>
  <c r="U27" i="228"/>
  <c r="O20" i="233"/>
  <c r="L22" i="233"/>
  <c r="N20" i="233"/>
  <c r="M20" i="233"/>
  <c r="U35" i="228"/>
  <c r="U34" i="228"/>
  <c r="U37" i="228"/>
  <c r="U36" i="228"/>
  <c r="U30" i="228"/>
  <c r="U32" i="228"/>
  <c r="AC36" i="228"/>
  <c r="U31" i="228"/>
  <c r="U33" i="228"/>
  <c r="Z25" i="228"/>
  <c r="AC25" i="228" s="1"/>
  <c r="U25" i="228"/>
  <c r="Z12" i="228"/>
  <c r="AC12" i="228" s="1"/>
  <c r="U12" i="228"/>
  <c r="Z23" i="228"/>
  <c r="AC23" i="228" s="1"/>
  <c r="U23" i="228"/>
  <c r="U11" i="228"/>
  <c r="Z16" i="228"/>
  <c r="AC16" i="228" s="1"/>
  <c r="U16" i="228"/>
  <c r="Z24" i="228"/>
  <c r="AC24" i="228" s="1"/>
  <c r="U24" i="228"/>
  <c r="Z28" i="228"/>
  <c r="AC28" i="228" s="1"/>
  <c r="U28" i="228"/>
  <c r="U7" i="228"/>
  <c r="Z15" i="228"/>
  <c r="AC15" i="228" s="1"/>
  <c r="U15" i="228"/>
  <c r="U22" i="228"/>
  <c r="Z21" i="228"/>
  <c r="AC21" i="228" s="1"/>
  <c r="U21" i="228"/>
  <c r="Z10" i="228"/>
  <c r="AC10" i="228" s="1"/>
  <c r="U10" i="228"/>
  <c r="Z8" i="228"/>
  <c r="U8" i="228"/>
  <c r="Z17" i="228"/>
  <c r="AC17" i="228" s="1"/>
  <c r="U17" i="228"/>
  <c r="Z29" i="228"/>
  <c r="AC29" i="228" s="1"/>
  <c r="U29" i="228"/>
  <c r="Z14" i="228"/>
  <c r="AC14" i="228" s="1"/>
  <c r="U14" i="228"/>
  <c r="U19" i="228"/>
  <c r="Z26" i="228"/>
  <c r="AC26" i="228" s="1"/>
  <c r="U26" i="228"/>
  <c r="Z18" i="228"/>
  <c r="AC18" i="228" s="1"/>
  <c r="U18" i="228"/>
  <c r="Z20" i="228"/>
  <c r="AC20" i="228" s="1"/>
  <c r="U20" i="228"/>
  <c r="Z13" i="228"/>
  <c r="AC13" i="228" s="1"/>
  <c r="U13" i="228"/>
  <c r="Z9" i="228"/>
  <c r="AC9" i="228" s="1"/>
  <c r="U9" i="228"/>
  <c r="AC37" i="228"/>
  <c r="O9" i="234"/>
  <c r="O20" i="234" s="1"/>
  <c r="M11" i="234"/>
  <c r="M22" i="234" s="1"/>
  <c r="O11" i="234"/>
  <c r="O22" i="234" s="1"/>
  <c r="L9" i="234"/>
  <c r="L20" i="234" s="1"/>
  <c r="N11" i="234"/>
  <c r="N22" i="234" s="1"/>
  <c r="P10" i="234"/>
  <c r="P21" i="234" s="1"/>
  <c r="O10" i="234"/>
  <c r="O21" i="234" s="1"/>
  <c r="L11" i="234"/>
  <c r="L22" i="234" s="1"/>
  <c r="N10" i="234"/>
  <c r="N21" i="234" s="1"/>
  <c r="P11" i="234"/>
  <c r="P22" i="234" s="1"/>
  <c r="M10" i="234"/>
  <c r="M21" i="234" s="1"/>
  <c r="L10" i="234"/>
  <c r="L21" i="234" s="1"/>
  <c r="N9" i="234"/>
  <c r="N20" i="234" s="1"/>
  <c r="P9" i="234"/>
  <c r="P20" i="234" s="1"/>
  <c r="M9" i="234"/>
  <c r="M20" i="234" s="1"/>
  <c r="X39" i="228"/>
  <c r="W67" i="143"/>
  <c r="X40" i="228"/>
  <c r="W65" i="143"/>
  <c r="W41" i="228"/>
  <c r="W66" i="143"/>
  <c r="H7" i="50"/>
  <c r="H39" i="50" s="1"/>
  <c r="AB3" i="143"/>
  <c r="H40" i="228"/>
  <c r="N41" i="228"/>
  <c r="P40" i="228"/>
  <c r="G39" i="228"/>
  <c r="Z27" i="228"/>
  <c r="AC27" i="228" s="1"/>
  <c r="N40" i="228"/>
  <c r="W40" i="228"/>
  <c r="W39" i="228"/>
  <c r="X41" i="228"/>
  <c r="L39" i="228"/>
  <c r="J40" i="228"/>
  <c r="K39" i="228"/>
  <c r="G40" i="228"/>
  <c r="F39" i="228"/>
  <c r="P39" i="228"/>
  <c r="L40" i="228"/>
  <c r="P41" i="228"/>
  <c r="F41" i="228"/>
  <c r="K41" i="228"/>
  <c r="G41" i="228"/>
  <c r="L41" i="228"/>
  <c r="O39" i="228"/>
  <c r="C41" i="228"/>
  <c r="D41" i="228"/>
  <c r="AB11" i="228"/>
  <c r="AA11" i="228"/>
  <c r="E40" i="228"/>
  <c r="E44" i="228" s="1"/>
  <c r="H7" i="227"/>
  <c r="AD8" i="50"/>
  <c r="C39" i="228"/>
  <c r="D39" i="228"/>
  <c r="Z22" i="228"/>
  <c r="AC22" i="228" s="1"/>
  <c r="Z19" i="228"/>
  <c r="AC19" i="228" s="1"/>
  <c r="Z30" i="228"/>
  <c r="AC30" i="228" s="1"/>
  <c r="Z7" i="228"/>
  <c r="Z35" i="228"/>
  <c r="AC35" i="228" s="1"/>
  <c r="AB7" i="228"/>
  <c r="Z33" i="228"/>
  <c r="AC33" i="228" s="1"/>
  <c r="Z32" i="228"/>
  <c r="AC32" i="228" s="1"/>
  <c r="Z31" i="228"/>
  <c r="AC31" i="228" s="1"/>
  <c r="Z34" i="228"/>
  <c r="AC34" i="228" s="1"/>
  <c r="AA7" i="228"/>
  <c r="Z11" i="228"/>
  <c r="G46" i="227"/>
  <c r="E46" i="227"/>
  <c r="D46" i="227"/>
  <c r="C46" i="227"/>
  <c r="B46" i="227"/>
  <c r="H40" i="227"/>
  <c r="F40" i="227"/>
  <c r="F39" i="227"/>
  <c r="F38" i="227"/>
  <c r="A2" i="120"/>
  <c r="AD39" i="50" l="1"/>
  <c r="AF8" i="50"/>
  <c r="W71" i="143"/>
  <c r="AC8" i="228"/>
  <c r="AC11" i="228"/>
  <c r="AC7" i="228"/>
  <c r="Y40" i="228"/>
  <c r="Y44" i="228" s="1"/>
  <c r="Y39" i="228"/>
  <c r="Y43" i="228" s="1"/>
  <c r="I41" i="228"/>
  <c r="I45" i="228" s="1"/>
  <c r="I39" i="228"/>
  <c r="I43" i="228" s="1"/>
  <c r="M41" i="228"/>
  <c r="M45" i="228" s="1"/>
  <c r="Q40" i="228"/>
  <c r="Q44" i="228" s="1"/>
  <c r="T41" i="228"/>
  <c r="W62" i="143"/>
  <c r="R40" i="228"/>
  <c r="B8" i="229" s="1"/>
  <c r="W61" i="143"/>
  <c r="S39" i="228"/>
  <c r="W63" i="143"/>
  <c r="Q41" i="228"/>
  <c r="Q45" i="228" s="1"/>
  <c r="I40" i="228"/>
  <c r="I44" i="228" s="1"/>
  <c r="M39" i="228"/>
  <c r="M43" i="228" s="1"/>
  <c r="H38" i="227"/>
  <c r="Q39" i="228"/>
  <c r="Q43" i="228" s="1"/>
  <c r="Y41" i="228"/>
  <c r="Y45" i="228" s="1"/>
  <c r="M40" i="228"/>
  <c r="M44" i="228" s="1"/>
  <c r="Z41" i="228"/>
  <c r="E41" i="228"/>
  <c r="E45" i="228" s="1"/>
  <c r="AB41" i="228"/>
  <c r="E39" i="228"/>
  <c r="E43" i="228" s="1"/>
  <c r="S41" i="228"/>
  <c r="AA41" i="228"/>
  <c r="R41" i="228"/>
  <c r="C8" i="229" s="1"/>
  <c r="R39" i="228"/>
  <c r="S40" i="228"/>
  <c r="B9" i="229" s="1"/>
  <c r="T40" i="228"/>
  <c r="B10" i="229" s="1"/>
  <c r="T39" i="228"/>
  <c r="F46" i="227"/>
  <c r="H39" i="227"/>
  <c r="AF39" i="50" l="1"/>
  <c r="W72" i="143"/>
  <c r="B20" i="229"/>
  <c r="B10" i="223"/>
  <c r="B18" i="229"/>
  <c r="B8" i="223"/>
  <c r="D9" i="229"/>
  <c r="C10" i="229"/>
  <c r="I9" i="229"/>
  <c r="B19" i="229"/>
  <c r="B9" i="223"/>
  <c r="C9" i="229"/>
  <c r="C12" i="229" s="1"/>
  <c r="I8" i="229"/>
  <c r="D8" i="229"/>
  <c r="D10" i="229"/>
  <c r="C18" i="229"/>
  <c r="C8" i="223"/>
  <c r="I10" i="229"/>
  <c r="Z39" i="228"/>
  <c r="AA39" i="228"/>
  <c r="AB39" i="228"/>
  <c r="AA40" i="228"/>
  <c r="W70" i="143"/>
  <c r="U41" i="228"/>
  <c r="U45" i="228" s="1"/>
  <c r="AC41" i="228"/>
  <c r="AC45" i="228" s="1"/>
  <c r="B12" i="229"/>
  <c r="U40" i="228"/>
  <c r="U44" i="228" s="1"/>
  <c r="AB40" i="228"/>
  <c r="Z40" i="228"/>
  <c r="U39" i="228"/>
  <c r="U43" i="228" s="1"/>
  <c r="H46" i="227"/>
  <c r="I8" i="230"/>
  <c r="I18" i="230" s="1"/>
  <c r="I12" i="229" l="1"/>
  <c r="D12" i="229"/>
  <c r="H8" i="229"/>
  <c r="H8" i="230" s="1"/>
  <c r="H18" i="230" s="1"/>
  <c r="J9" i="229"/>
  <c r="I20" i="229"/>
  <c r="I10" i="223"/>
  <c r="D20" i="229"/>
  <c r="D10" i="223"/>
  <c r="I18" i="229"/>
  <c r="I8" i="223"/>
  <c r="C20" i="229"/>
  <c r="C10" i="223"/>
  <c r="J10" i="229"/>
  <c r="J10" i="230" s="1"/>
  <c r="J20" i="230" s="1"/>
  <c r="J8" i="229"/>
  <c r="J8" i="230" s="1"/>
  <c r="J18" i="230" s="1"/>
  <c r="H10" i="229"/>
  <c r="H10" i="230" s="1"/>
  <c r="H20" i="230" s="1"/>
  <c r="H9" i="229"/>
  <c r="D18" i="229"/>
  <c r="D8" i="223"/>
  <c r="C19" i="229"/>
  <c r="C22" i="229" s="1"/>
  <c r="C9" i="223"/>
  <c r="I19" i="229"/>
  <c r="I9" i="223"/>
  <c r="D19" i="229"/>
  <c r="D9" i="223"/>
  <c r="C8" i="230"/>
  <c r="C18" i="230" s="1"/>
  <c r="B8" i="230"/>
  <c r="B18" i="230" s="1"/>
  <c r="C10" i="230"/>
  <c r="C20" i="230" s="1"/>
  <c r="J9" i="230"/>
  <c r="J19" i="230" s="1"/>
  <c r="D10" i="230"/>
  <c r="D20" i="230" s="1"/>
  <c r="B9" i="230"/>
  <c r="B19" i="230" s="1"/>
  <c r="I9" i="230"/>
  <c r="I19" i="230" s="1"/>
  <c r="H9" i="230"/>
  <c r="H19" i="230" s="1"/>
  <c r="I10" i="230"/>
  <c r="I20" i="230" s="1"/>
  <c r="D9" i="230"/>
  <c r="D19" i="230" s="1"/>
  <c r="C9" i="230"/>
  <c r="C19" i="230" s="1"/>
  <c r="B10" i="230"/>
  <c r="B20" i="230" s="1"/>
  <c r="D8" i="230"/>
  <c r="D18" i="230" s="1"/>
  <c r="AC39" i="228"/>
  <c r="AC43" i="228" s="1"/>
  <c r="B22" i="229"/>
  <c r="AC40" i="228"/>
  <c r="AC44" i="228" s="1"/>
  <c r="H12" i="229" l="1"/>
  <c r="D22" i="229"/>
  <c r="J12" i="229"/>
  <c r="I22" i="229"/>
  <c r="H19" i="229"/>
  <c r="H9" i="223"/>
  <c r="J19" i="229"/>
  <c r="J9" i="223"/>
  <c r="H20" i="229"/>
  <c r="H10" i="223"/>
  <c r="J18" i="229"/>
  <c r="J8" i="223"/>
  <c r="J20" i="229"/>
  <c r="J10" i="223"/>
  <c r="H18" i="229"/>
  <c r="H8" i="223"/>
  <c r="D22" i="230"/>
  <c r="I22" i="230"/>
  <c r="J12" i="230"/>
  <c r="C12" i="230"/>
  <c r="B12" i="230"/>
  <c r="B22" i="230"/>
  <c r="D12" i="230"/>
  <c r="I12" i="230"/>
  <c r="C22" i="230"/>
  <c r="J22" i="230"/>
  <c r="H12" i="230"/>
  <c r="H22" i="229" l="1"/>
  <c r="J22" i="229"/>
  <c r="H22" i="230"/>
  <c r="B24" i="229" l="1"/>
  <c r="I24" i="229"/>
  <c r="D24" i="229"/>
  <c r="I24" i="230"/>
  <c r="C24" i="229"/>
  <c r="D24" i="230"/>
  <c r="J24" i="229"/>
  <c r="B24" i="230"/>
  <c r="H24" i="229"/>
  <c r="C24" i="230"/>
  <c r="J24" i="230"/>
  <c r="H24" i="230"/>
  <c r="D25" i="229"/>
  <c r="H25" i="229"/>
  <c r="I25" i="229"/>
  <c r="J25" i="229"/>
  <c r="C25" i="229"/>
  <c r="B25" i="229"/>
  <c r="C25" i="230"/>
  <c r="I25" i="230"/>
  <c r="B25" i="230"/>
  <c r="D25" i="230"/>
  <c r="J25" i="230"/>
  <c r="H25" i="230"/>
  <c r="B26" i="229"/>
  <c r="C26" i="229"/>
  <c r="D26" i="229"/>
  <c r="I26" i="229"/>
  <c r="J26" i="229"/>
  <c r="I26" i="230"/>
  <c r="B26" i="230"/>
  <c r="C26" i="230"/>
  <c r="H26" i="230"/>
  <c r="D26" i="230"/>
  <c r="J26" i="230"/>
  <c r="H26" i="229"/>
  <c r="C18" i="80"/>
  <c r="I30" i="243" l="1"/>
  <c r="G30" i="243"/>
  <c r="B30" i="243"/>
  <c r="C30" i="243"/>
  <c r="H30" i="243"/>
  <c r="F30" i="243"/>
  <c r="J30" i="243"/>
  <c r="D30" i="243"/>
  <c r="H30" i="230"/>
  <c r="J30" i="230"/>
  <c r="C30" i="230"/>
  <c r="J30" i="220"/>
  <c r="I30" i="230"/>
  <c r="D30" i="230"/>
  <c r="B30" i="230"/>
  <c r="C30" i="220"/>
  <c r="D30" i="220"/>
  <c r="H30" i="220"/>
  <c r="B30" i="220"/>
  <c r="I30" i="220"/>
  <c r="M30" i="184"/>
  <c r="I30" i="184"/>
  <c r="G30" i="184"/>
  <c r="E30" i="194"/>
  <c r="J30" i="194"/>
  <c r="B30" i="194"/>
  <c r="Q30" i="192"/>
  <c r="B30" i="189"/>
  <c r="F30" i="222"/>
  <c r="N30" i="222"/>
  <c r="C30" i="222"/>
  <c r="K30" i="184"/>
  <c r="F30" i="194"/>
  <c r="K30" i="194"/>
  <c r="E30" i="192"/>
  <c r="I30" i="192"/>
  <c r="N30" i="192"/>
  <c r="E30" i="189"/>
  <c r="G30" i="222"/>
  <c r="O30" i="222"/>
  <c r="L30" i="184"/>
  <c r="H30" i="184"/>
  <c r="E30" i="184"/>
  <c r="C30" i="184"/>
  <c r="G30" i="194"/>
  <c r="M30" i="194"/>
  <c r="F30" i="192"/>
  <c r="O30" i="192"/>
  <c r="C30" i="192"/>
  <c r="B30" i="192"/>
  <c r="H30" i="222"/>
  <c r="P30" i="222"/>
  <c r="C30" i="194"/>
  <c r="I30" i="194"/>
  <c r="G30" i="192"/>
  <c r="E30" i="222"/>
  <c r="I30" i="222"/>
  <c r="Q30" i="222"/>
  <c r="B30" i="222"/>
  <c r="E31" i="225"/>
  <c r="M31" i="225"/>
  <c r="B31" i="225"/>
  <c r="E32" i="234"/>
  <c r="M32" i="234"/>
  <c r="F31" i="225"/>
  <c r="N31" i="225"/>
  <c r="D32" i="199"/>
  <c r="P32" i="199"/>
  <c r="F32" i="234"/>
  <c r="N32" i="234"/>
  <c r="C31" i="225"/>
  <c r="O31" i="225"/>
  <c r="F32" i="199"/>
  <c r="C32" i="234"/>
  <c r="O32" i="234"/>
  <c r="N32" i="199"/>
  <c r="D31" i="225"/>
  <c r="L31" i="225"/>
  <c r="P31" i="225"/>
  <c r="D32" i="234"/>
  <c r="L32" i="234"/>
  <c r="P32" i="234"/>
  <c r="B32" i="234"/>
  <c r="L31" i="196"/>
  <c r="B31" i="196"/>
  <c r="H27" i="229"/>
  <c r="C27" i="229"/>
  <c r="B27" i="229"/>
  <c r="B27" i="230"/>
  <c r="I27" i="230"/>
  <c r="J27" i="230"/>
  <c r="J27" i="229"/>
  <c r="D27" i="229"/>
  <c r="H27" i="230"/>
  <c r="C27" i="230"/>
  <c r="D27" i="230"/>
  <c r="I27" i="229"/>
  <c r="D12" i="226" l="1"/>
  <c r="D13" i="226" s="1"/>
  <c r="D14" i="226" s="1"/>
  <c r="A12" i="226"/>
  <c r="A13" i="226" s="1"/>
  <c r="A14" i="226" s="1"/>
  <c r="A15" i="226" l="1"/>
  <c r="A16" i="226" s="1"/>
  <c r="A17" i="226" s="1"/>
  <c r="A18" i="226" s="1"/>
  <c r="A19" i="226" s="1"/>
  <c r="A20" i="226" s="1"/>
  <c r="A21" i="226" s="1"/>
  <c r="A22" i="226" s="1"/>
  <c r="A23" i="226" s="1"/>
  <c r="A24" i="226" s="1"/>
  <c r="A25" i="226" s="1"/>
  <c r="A26" i="226" s="1"/>
  <c r="A27" i="226" s="1"/>
  <c r="D15" i="226"/>
  <c r="D16" i="226" s="1"/>
  <c r="D17" i="226" s="1"/>
  <c r="D18" i="226" s="1"/>
  <c r="D19" i="226" s="1"/>
  <c r="D20" i="226" s="1"/>
  <c r="D21" i="226" s="1"/>
  <c r="D22" i="226" s="1"/>
  <c r="D23" i="226" s="1"/>
  <c r="D24" i="226" s="1"/>
  <c r="D25" i="226" s="1"/>
  <c r="D26" i="226" s="1"/>
  <c r="D27" i="226" s="1"/>
  <c r="A28" i="226" l="1"/>
  <c r="A29" i="226" s="1"/>
  <c r="A30" i="226" s="1"/>
  <c r="A31" i="226" s="1"/>
  <c r="A32" i="226" s="1"/>
  <c r="A33" i="226" s="1"/>
  <c r="A34" i="226" s="1"/>
  <c r="A35" i="226" s="1"/>
  <c r="D28" i="226"/>
  <c r="D29" i="226" s="1"/>
  <c r="D30" i="226" s="1"/>
  <c r="D31" i="226" s="1"/>
  <c r="D32" i="226" s="1"/>
  <c r="D33" i="226" s="1"/>
  <c r="D34" i="226" s="1"/>
  <c r="D35" i="226" s="1"/>
  <c r="D36" i="226" s="1"/>
  <c r="D37" i="226" s="1"/>
  <c r="D38" i="226" s="1"/>
  <c r="D39" i="226" l="1"/>
  <c r="D40" i="226" s="1"/>
  <c r="A36" i="226"/>
  <c r="A37" i="226" s="1"/>
  <c r="A38" i="226" l="1"/>
  <c r="A39" i="226" s="1"/>
  <c r="A40" i="226" s="1"/>
  <c r="A41" i="226" s="1"/>
  <c r="A42" i="226" s="1"/>
  <c r="A43" i="226" s="1"/>
  <c r="A44" i="226" s="1"/>
  <c r="A45" i="226" s="1"/>
  <c r="A46" i="226" s="1"/>
  <c r="A47" i="226" s="1"/>
  <c r="A48" i="226" s="1"/>
  <c r="A49" i="226" s="1"/>
  <c r="A50" i="226" s="1"/>
  <c r="A51" i="226" s="1"/>
  <c r="A52" i="226" s="1"/>
  <c r="A53" i="226" s="1"/>
  <c r="A54" i="226" s="1"/>
  <c r="A55" i="226" s="1"/>
  <c r="A56" i="226" s="1"/>
  <c r="A57" i="226" s="1"/>
  <c r="A58" i="226" s="1"/>
  <c r="A59" i="226" s="1"/>
  <c r="A60" i="226" s="1"/>
  <c r="A61" i="226" s="1"/>
  <c r="A62" i="226" s="1"/>
  <c r="A63" i="226" s="1"/>
  <c r="A64" i="226" s="1"/>
  <c r="A65" i="226" s="1"/>
  <c r="A66" i="226" s="1"/>
  <c r="A67" i="226" s="1"/>
  <c r="A68" i="226" s="1"/>
  <c r="A69" i="226" s="1"/>
  <c r="A70" i="226" s="1"/>
  <c r="D41" i="226"/>
  <c r="D42" i="226" s="1"/>
  <c r="D43" i="226" s="1"/>
  <c r="D44" i="226" s="1"/>
  <c r="D45" i="226" s="1"/>
  <c r="D46" i="226" s="1"/>
  <c r="D47" i="226" s="1"/>
  <c r="D48" i="226" s="1"/>
  <c r="D49" i="226" s="1"/>
  <c r="D50" i="226" s="1"/>
  <c r="D51" i="226" s="1"/>
  <c r="D52" i="226" s="1"/>
  <c r="D53" i="226" s="1"/>
  <c r="D54" i="226" s="1"/>
  <c r="D55" i="226" s="1"/>
  <c r="D56" i="226" s="1"/>
  <c r="D57" i="226" s="1"/>
  <c r="D58" i="226" s="1"/>
  <c r="D59" i="226" s="1"/>
  <c r="D60" i="226" s="1"/>
  <c r="F41" i="157"/>
  <c r="F40" i="151"/>
  <c r="F41" i="151"/>
  <c r="D61" i="226" l="1"/>
  <c r="D62" i="226" s="1"/>
  <c r="D63" i="226" s="1"/>
  <c r="D64" i="226" s="1"/>
  <c r="D65" i="226" s="1"/>
  <c r="D66" i="226" s="1"/>
  <c r="D67" i="226" s="1"/>
  <c r="D68" i="226" s="1"/>
  <c r="D69" i="226" s="1"/>
  <c r="D70" i="226" s="1"/>
  <c r="G47" i="151"/>
  <c r="B47" i="96"/>
  <c r="AB42" i="8" l="1"/>
  <c r="O10" i="50" l="1"/>
  <c r="P42" i="8"/>
  <c r="R42" i="8"/>
  <c r="O9" i="50" l="1"/>
  <c r="O8" i="50"/>
  <c r="P8" i="50"/>
  <c r="Q8" i="50" l="1"/>
  <c r="R8" i="50" s="1"/>
  <c r="M41" i="232"/>
  <c r="M47" i="232" s="1"/>
  <c r="Q41" i="232"/>
  <c r="Q47" i="232" s="1"/>
  <c r="E41" i="232"/>
  <c r="E47" i="232" s="1"/>
  <c r="I41" i="232"/>
  <c r="I47" i="232" s="1"/>
  <c r="AH9" i="8"/>
  <c r="AJ9" i="8" s="1"/>
  <c r="J29" i="156" l="1"/>
  <c r="K29" i="156"/>
  <c r="L29" i="156"/>
  <c r="J30" i="156"/>
  <c r="K30" i="156"/>
  <c r="L30" i="156"/>
  <c r="J31" i="156"/>
  <c r="K31" i="156"/>
  <c r="L31" i="156"/>
  <c r="J32" i="156"/>
  <c r="K32" i="156"/>
  <c r="L32" i="156"/>
  <c r="J33" i="156"/>
  <c r="K33" i="156"/>
  <c r="L33" i="156"/>
  <c r="J34" i="156"/>
  <c r="K34" i="156"/>
  <c r="L34" i="156"/>
  <c r="J35" i="156"/>
  <c r="K35" i="156"/>
  <c r="L35" i="156"/>
  <c r="J36" i="156"/>
  <c r="K36" i="156"/>
  <c r="L36" i="156"/>
  <c r="J37" i="156"/>
  <c r="K37" i="156"/>
  <c r="L37" i="156"/>
  <c r="F29" i="156"/>
  <c r="G29" i="156"/>
  <c r="H29" i="156"/>
  <c r="F30" i="156"/>
  <c r="G30" i="156"/>
  <c r="H30" i="156"/>
  <c r="F31" i="156"/>
  <c r="G31" i="156"/>
  <c r="H31" i="156"/>
  <c r="F32" i="156"/>
  <c r="G32" i="156"/>
  <c r="H32" i="156"/>
  <c r="F33" i="156"/>
  <c r="G33" i="156"/>
  <c r="H33" i="156"/>
  <c r="F34" i="156"/>
  <c r="G34" i="156"/>
  <c r="H34" i="156"/>
  <c r="F35" i="156"/>
  <c r="G35" i="156"/>
  <c r="H35" i="156"/>
  <c r="F36" i="156"/>
  <c r="G36" i="156"/>
  <c r="H36" i="156"/>
  <c r="F37" i="156"/>
  <c r="G37" i="156"/>
  <c r="H37" i="156"/>
  <c r="J29" i="159"/>
  <c r="K29" i="159"/>
  <c r="L29" i="159"/>
  <c r="J30" i="159"/>
  <c r="K30" i="159"/>
  <c r="L30" i="159"/>
  <c r="J31" i="159"/>
  <c r="K31" i="159"/>
  <c r="L31" i="159"/>
  <c r="J32" i="159"/>
  <c r="K32" i="159"/>
  <c r="L32" i="159"/>
  <c r="J33" i="159"/>
  <c r="K33" i="159"/>
  <c r="L33" i="159"/>
  <c r="J34" i="159"/>
  <c r="K34" i="159"/>
  <c r="L34" i="159"/>
  <c r="J35" i="159"/>
  <c r="K35" i="159"/>
  <c r="L35" i="159"/>
  <c r="J36" i="159"/>
  <c r="K36" i="159"/>
  <c r="L36" i="159"/>
  <c r="J37" i="159"/>
  <c r="K37" i="159"/>
  <c r="L37" i="159"/>
  <c r="F29" i="159"/>
  <c r="G29" i="159"/>
  <c r="H29" i="159"/>
  <c r="F30" i="159"/>
  <c r="G30" i="159"/>
  <c r="H30" i="159"/>
  <c r="F31" i="159"/>
  <c r="G31" i="159"/>
  <c r="H31" i="159"/>
  <c r="F32" i="159"/>
  <c r="G32" i="159"/>
  <c r="H32" i="159"/>
  <c r="F33" i="159"/>
  <c r="G33" i="159"/>
  <c r="H33" i="159"/>
  <c r="F34" i="159"/>
  <c r="G34" i="159"/>
  <c r="H34" i="159"/>
  <c r="F35" i="159"/>
  <c r="G35" i="159"/>
  <c r="H35" i="159"/>
  <c r="F36" i="159"/>
  <c r="G36" i="159"/>
  <c r="H36" i="159"/>
  <c r="F37" i="159"/>
  <c r="G37" i="159"/>
  <c r="H37" i="159"/>
  <c r="D30" i="159"/>
  <c r="B31" i="159"/>
  <c r="H31" i="160"/>
  <c r="D32" i="160"/>
  <c r="B29" i="159"/>
  <c r="C29" i="159"/>
  <c r="B30" i="159"/>
  <c r="C30" i="159"/>
  <c r="C31" i="159"/>
  <c r="D31" i="159"/>
  <c r="B32" i="159"/>
  <c r="C32" i="159"/>
  <c r="D32" i="159"/>
  <c r="B33" i="159"/>
  <c r="C33" i="159"/>
  <c r="B34" i="159"/>
  <c r="C34" i="159"/>
  <c r="D34" i="159"/>
  <c r="B35" i="159"/>
  <c r="C35" i="159"/>
  <c r="D35" i="159"/>
  <c r="B36" i="159"/>
  <c r="C36" i="159"/>
  <c r="D36" i="159"/>
  <c r="B37" i="159"/>
  <c r="C37" i="159"/>
  <c r="D37" i="159"/>
  <c r="J29" i="160"/>
  <c r="K29" i="160"/>
  <c r="J30" i="160"/>
  <c r="K30" i="160"/>
  <c r="J31" i="160"/>
  <c r="K31" i="160"/>
  <c r="L31" i="160"/>
  <c r="J32" i="160"/>
  <c r="K32" i="160"/>
  <c r="L32" i="160"/>
  <c r="J33" i="160"/>
  <c r="K33" i="160"/>
  <c r="J34" i="160"/>
  <c r="K34" i="160"/>
  <c r="L34" i="160"/>
  <c r="J35" i="160"/>
  <c r="K35" i="160"/>
  <c r="L35" i="160"/>
  <c r="J36" i="160"/>
  <c r="K36" i="160"/>
  <c r="L36" i="160"/>
  <c r="J37" i="160"/>
  <c r="K37" i="160"/>
  <c r="L37" i="160"/>
  <c r="F29" i="160"/>
  <c r="G29" i="160"/>
  <c r="H29" i="160"/>
  <c r="F30" i="160"/>
  <c r="G30" i="160"/>
  <c r="F31" i="160"/>
  <c r="G31" i="160"/>
  <c r="F32" i="160"/>
  <c r="G32" i="160"/>
  <c r="H32" i="160"/>
  <c r="F33" i="160"/>
  <c r="G33" i="160"/>
  <c r="H33" i="160"/>
  <c r="F34" i="160"/>
  <c r="G34" i="160"/>
  <c r="H34" i="160"/>
  <c r="F35" i="160"/>
  <c r="G35" i="160"/>
  <c r="H35" i="160"/>
  <c r="F36" i="160"/>
  <c r="G36" i="160"/>
  <c r="H36" i="160"/>
  <c r="F37" i="160"/>
  <c r="G37" i="160"/>
  <c r="H37" i="160"/>
  <c r="B29" i="160"/>
  <c r="C29" i="160"/>
  <c r="D29" i="160"/>
  <c r="B30" i="160"/>
  <c r="C30" i="160"/>
  <c r="D30" i="160"/>
  <c r="B31" i="160"/>
  <c r="C31" i="160"/>
  <c r="B32" i="160"/>
  <c r="C32" i="160"/>
  <c r="B33" i="160"/>
  <c r="C33" i="160"/>
  <c r="D33" i="160"/>
  <c r="B34" i="160"/>
  <c r="C34" i="160"/>
  <c r="D34" i="160"/>
  <c r="B35" i="160"/>
  <c r="C35" i="160"/>
  <c r="D35" i="160"/>
  <c r="B36" i="160"/>
  <c r="C36" i="160"/>
  <c r="D36" i="160"/>
  <c r="B37" i="160"/>
  <c r="C37" i="160"/>
  <c r="D37" i="160"/>
  <c r="J30" i="162"/>
  <c r="K30" i="162"/>
  <c r="J31" i="162"/>
  <c r="K31" i="162"/>
  <c r="J32" i="162"/>
  <c r="K32" i="162"/>
  <c r="L32" i="162"/>
  <c r="J33" i="162"/>
  <c r="K33" i="162"/>
  <c r="L33" i="162"/>
  <c r="J34" i="162"/>
  <c r="K34" i="162"/>
  <c r="J35" i="162"/>
  <c r="K35" i="162"/>
  <c r="L35" i="162"/>
  <c r="J36" i="162"/>
  <c r="K36" i="162"/>
  <c r="L36" i="162"/>
  <c r="J37" i="162"/>
  <c r="K37" i="162"/>
  <c r="L37" i="162"/>
  <c r="J38" i="162"/>
  <c r="K38" i="162"/>
  <c r="L38" i="162"/>
  <c r="F30" i="162"/>
  <c r="G30" i="162"/>
  <c r="H30" i="162"/>
  <c r="F31" i="162"/>
  <c r="G31" i="162"/>
  <c r="F32" i="162"/>
  <c r="G32" i="162"/>
  <c r="F33" i="162"/>
  <c r="G33" i="162"/>
  <c r="H33" i="162"/>
  <c r="F34" i="162"/>
  <c r="G34" i="162"/>
  <c r="H34" i="162"/>
  <c r="F35" i="162"/>
  <c r="G35" i="162"/>
  <c r="H35" i="162"/>
  <c r="F36" i="162"/>
  <c r="G36" i="162"/>
  <c r="H36" i="162"/>
  <c r="F37" i="162"/>
  <c r="G37" i="162"/>
  <c r="H37" i="162"/>
  <c r="F38" i="162"/>
  <c r="G38" i="162"/>
  <c r="H38" i="162"/>
  <c r="B30" i="162"/>
  <c r="C30" i="162"/>
  <c r="D30" i="162"/>
  <c r="B31" i="162"/>
  <c r="C31" i="162"/>
  <c r="D31" i="162"/>
  <c r="B32" i="162"/>
  <c r="C32" i="162"/>
  <c r="B33" i="162"/>
  <c r="C33" i="162"/>
  <c r="B34" i="162"/>
  <c r="C34" i="162"/>
  <c r="D34" i="162"/>
  <c r="B35" i="162"/>
  <c r="C35" i="162"/>
  <c r="D35" i="162"/>
  <c r="B36" i="162"/>
  <c r="C36" i="162"/>
  <c r="D36" i="162"/>
  <c r="B37" i="162"/>
  <c r="C37" i="162"/>
  <c r="D37" i="162"/>
  <c r="B38" i="162"/>
  <c r="C38" i="162"/>
  <c r="D38" i="162"/>
  <c r="J29" i="165"/>
  <c r="L29" i="165"/>
  <c r="J30" i="165"/>
  <c r="K30" i="165"/>
  <c r="L30" i="165"/>
  <c r="J31" i="165"/>
  <c r="K31" i="165"/>
  <c r="L31" i="165"/>
  <c r="J32" i="165"/>
  <c r="K32" i="165"/>
  <c r="L32" i="165"/>
  <c r="J33" i="165"/>
  <c r="K33" i="165"/>
  <c r="L33" i="165"/>
  <c r="J34" i="165"/>
  <c r="K34" i="165"/>
  <c r="L34" i="165"/>
  <c r="J35" i="165"/>
  <c r="K35" i="165"/>
  <c r="L35" i="165"/>
  <c r="J36" i="165"/>
  <c r="K36" i="165"/>
  <c r="L36" i="165"/>
  <c r="J37" i="165"/>
  <c r="K37" i="165"/>
  <c r="L37" i="165"/>
  <c r="F29" i="165"/>
  <c r="H29" i="165"/>
  <c r="F30" i="165"/>
  <c r="G30" i="165"/>
  <c r="H30" i="165"/>
  <c r="F31" i="165"/>
  <c r="G31" i="165"/>
  <c r="H31" i="165"/>
  <c r="F32" i="165"/>
  <c r="G32" i="165"/>
  <c r="H32" i="165"/>
  <c r="F33" i="165"/>
  <c r="G33" i="165"/>
  <c r="H33" i="165"/>
  <c r="F34" i="165"/>
  <c r="G34" i="165"/>
  <c r="H34" i="165"/>
  <c r="F35" i="165"/>
  <c r="G35" i="165"/>
  <c r="H35" i="165"/>
  <c r="F36" i="165"/>
  <c r="G36" i="165"/>
  <c r="H36" i="165"/>
  <c r="F37" i="165"/>
  <c r="G37" i="165"/>
  <c r="H37" i="165"/>
  <c r="B29" i="165"/>
  <c r="C29" i="165"/>
  <c r="D29" i="165"/>
  <c r="B30" i="165"/>
  <c r="C30" i="165"/>
  <c r="D30" i="165"/>
  <c r="B31" i="165"/>
  <c r="C31" i="165"/>
  <c r="D31" i="165"/>
  <c r="B32" i="165"/>
  <c r="C32" i="165"/>
  <c r="D32" i="165"/>
  <c r="B33" i="165"/>
  <c r="C33" i="165"/>
  <c r="D33" i="165"/>
  <c r="B34" i="165"/>
  <c r="C34" i="165"/>
  <c r="D34" i="165"/>
  <c r="B35" i="165"/>
  <c r="C35" i="165"/>
  <c r="D35" i="165"/>
  <c r="B36" i="165"/>
  <c r="C36" i="165"/>
  <c r="D36" i="165"/>
  <c r="B37" i="165"/>
  <c r="C37" i="165"/>
  <c r="D37" i="165"/>
  <c r="E37" i="165" l="1"/>
  <c r="E33" i="165"/>
  <c r="E34" i="165"/>
  <c r="E30" i="165"/>
  <c r="E35" i="165"/>
  <c r="E31" i="165"/>
  <c r="E36" i="165"/>
  <c r="E32" i="165"/>
  <c r="I36" i="165"/>
  <c r="I32" i="165"/>
  <c r="M34" i="165"/>
  <c r="M30" i="165"/>
  <c r="I35" i="165"/>
  <c r="I31" i="165"/>
  <c r="M37" i="165"/>
  <c r="M33" i="165"/>
  <c r="I37" i="165"/>
  <c r="I33" i="165"/>
  <c r="M35" i="165"/>
  <c r="M31" i="165"/>
  <c r="E29" i="165"/>
  <c r="I34" i="165"/>
  <c r="I30" i="165"/>
  <c r="M36" i="165"/>
  <c r="M32" i="165"/>
  <c r="I34" i="156"/>
  <c r="I30" i="156"/>
  <c r="M35" i="156"/>
  <c r="M31" i="156"/>
  <c r="I35" i="156"/>
  <c r="M32" i="156"/>
  <c r="I37" i="156"/>
  <c r="I33" i="156"/>
  <c r="I29" i="156"/>
  <c r="M34" i="156"/>
  <c r="M30" i="156"/>
  <c r="I31" i="156"/>
  <c r="M36" i="156"/>
  <c r="I36" i="156"/>
  <c r="I32" i="156"/>
  <c r="M37" i="156"/>
  <c r="M33" i="156"/>
  <c r="M29" i="156"/>
  <c r="D32" i="162"/>
  <c r="H31" i="162"/>
  <c r="L34" i="162"/>
  <c r="L30" i="162"/>
  <c r="D31" i="160"/>
  <c r="H30" i="160"/>
  <c r="L33" i="160"/>
  <c r="L29" i="160"/>
  <c r="D33" i="159"/>
  <c r="D29" i="159"/>
  <c r="D33" i="162"/>
  <c r="H32" i="162"/>
  <c r="L31" i="162"/>
  <c r="L30" i="160"/>
  <c r="G29" i="165"/>
  <c r="I29" i="165" s="1"/>
  <c r="K29" i="165"/>
  <c r="M29" i="165" s="1"/>
  <c r="A15" i="222" l="1"/>
  <c r="A15" i="221"/>
  <c r="A15" i="224"/>
  <c r="A15" i="225"/>
  <c r="A15" i="223"/>
  <c r="A15" i="220"/>
  <c r="AG39" i="50" l="1"/>
  <c r="B12" i="217" l="1"/>
  <c r="V8" i="165" l="1"/>
  <c r="V9" i="165"/>
  <c r="V10" i="165"/>
  <c r="V11" i="165"/>
  <c r="V12" i="165"/>
  <c r="V13" i="165"/>
  <c r="V14" i="165"/>
  <c r="V15" i="165"/>
  <c r="V16" i="165"/>
  <c r="V17" i="165"/>
  <c r="V18" i="165"/>
  <c r="V19" i="165"/>
  <c r="V20" i="165"/>
  <c r="V21" i="165"/>
  <c r="V22" i="165"/>
  <c r="V23" i="165"/>
  <c r="V24" i="165"/>
  <c r="V25" i="165"/>
  <c r="V26" i="165"/>
  <c r="V27" i="165"/>
  <c r="V28" i="165"/>
  <c r="V29" i="165"/>
  <c r="V30" i="165"/>
  <c r="W30" i="165"/>
  <c r="X30" i="165"/>
  <c r="V31" i="165"/>
  <c r="W31" i="165"/>
  <c r="X31" i="165"/>
  <c r="V32" i="165"/>
  <c r="W32" i="165"/>
  <c r="X32" i="165"/>
  <c r="V33" i="165"/>
  <c r="W33" i="165"/>
  <c r="X33" i="165"/>
  <c r="V34" i="165"/>
  <c r="W34" i="165"/>
  <c r="X34" i="165"/>
  <c r="V35" i="165"/>
  <c r="W35" i="165"/>
  <c r="X35" i="165"/>
  <c r="V36" i="165"/>
  <c r="W36" i="165"/>
  <c r="X36" i="165"/>
  <c r="V37" i="165"/>
  <c r="W37" i="165"/>
  <c r="X37" i="165"/>
  <c r="V7" i="165"/>
  <c r="K8" i="193" l="1"/>
  <c r="C8" i="193"/>
  <c r="F23" i="143" l="1"/>
  <c r="F27" i="143" s="1"/>
  <c r="D23" i="143"/>
  <c r="D27" i="143" s="1"/>
  <c r="C23" i="143"/>
  <c r="C27" i="143" s="1"/>
  <c r="AB45" i="8"/>
  <c r="AB44" i="8"/>
  <c r="AB43" i="8"/>
  <c r="AB41" i="8"/>
  <c r="T14" i="8" l="1"/>
  <c r="T13" i="8"/>
  <c r="AB51" i="8"/>
  <c r="P11" i="50" l="1"/>
  <c r="P9" i="50"/>
  <c r="V13" i="8"/>
  <c r="P12" i="50"/>
  <c r="R12" i="50" s="1"/>
  <c r="V14" i="8"/>
  <c r="P13" i="50"/>
  <c r="R13" i="50" s="1"/>
  <c r="P10" i="50"/>
  <c r="F70" i="143" l="1"/>
  <c r="F72" i="143" s="1"/>
  <c r="E70" i="143"/>
  <c r="E72" i="143" s="1"/>
  <c r="D70" i="143"/>
  <c r="D72" i="143" s="1"/>
  <c r="C70" i="143"/>
  <c r="C72" i="143" s="1"/>
  <c r="B70" i="143"/>
  <c r="B72" i="143" s="1"/>
  <c r="F10" i="143" l="1"/>
  <c r="F14" i="143" s="1"/>
  <c r="E10" i="143"/>
  <c r="E14" i="143" s="1"/>
  <c r="D10" i="143"/>
  <c r="D14" i="143" s="1"/>
  <c r="C10" i="143"/>
  <c r="C14" i="143" s="1"/>
  <c r="F20" i="143"/>
  <c r="E20" i="143"/>
  <c r="D20" i="143"/>
  <c r="C20" i="143"/>
  <c r="B20" i="143"/>
  <c r="F61" i="143"/>
  <c r="F63" i="143" s="1"/>
  <c r="E61" i="143"/>
  <c r="E63" i="143" s="1"/>
  <c r="D61" i="143"/>
  <c r="D63" i="143" s="1"/>
  <c r="C61" i="143"/>
  <c r="C63" i="143" s="1"/>
  <c r="F67" i="143"/>
  <c r="E67" i="143"/>
  <c r="D67" i="143"/>
  <c r="C67" i="143"/>
  <c r="B67" i="143"/>
  <c r="Z44" i="143"/>
  <c r="M8" i="193" l="1"/>
  <c r="E8" i="193"/>
  <c r="Z8" i="50" l="1"/>
  <c r="Z9" i="50"/>
  <c r="Z10" i="50"/>
  <c r="Z16" i="50"/>
  <c r="Z17" i="50"/>
  <c r="Z18" i="50"/>
  <c r="Z19" i="50"/>
  <c r="Z20" i="50"/>
  <c r="Z21" i="50"/>
  <c r="Z22" i="50"/>
  <c r="Z23" i="50"/>
  <c r="Z24" i="50"/>
  <c r="Z25" i="50"/>
  <c r="Z26" i="50"/>
  <c r="Z27" i="50"/>
  <c r="Z28" i="50"/>
  <c r="Z29" i="50"/>
  <c r="Z30" i="50"/>
  <c r="Z31" i="50"/>
  <c r="Z32" i="50"/>
  <c r="Z33" i="50"/>
  <c r="Z34" i="50"/>
  <c r="Z35" i="50"/>
  <c r="Z36" i="50"/>
  <c r="Z37" i="50"/>
  <c r="Z38" i="50"/>
  <c r="K42" i="160"/>
  <c r="L42" i="160"/>
  <c r="J42" i="160"/>
  <c r="G42" i="160"/>
  <c r="H42" i="160"/>
  <c r="F42" i="160"/>
  <c r="C42" i="160"/>
  <c r="D42" i="160"/>
  <c r="B42" i="160"/>
  <c r="H41" i="151"/>
  <c r="E40" i="151"/>
  <c r="E41" i="151"/>
  <c r="B41" i="151"/>
  <c r="B40" i="151"/>
  <c r="H40" i="151" s="1"/>
  <c r="L42" i="156"/>
  <c r="K42" i="156"/>
  <c r="J42" i="156"/>
  <c r="G42" i="156"/>
  <c r="H42" i="156"/>
  <c r="F42" i="156"/>
  <c r="D41" i="96"/>
  <c r="E41" i="96"/>
  <c r="F41" i="96"/>
  <c r="G41" i="96"/>
  <c r="H41" i="96"/>
  <c r="C41" i="96"/>
  <c r="M42" i="160" l="1"/>
  <c r="M47" i="160" s="1"/>
  <c r="E42" i="160"/>
  <c r="E47" i="160" s="1"/>
  <c r="I42" i="156"/>
  <c r="I47" i="156" s="1"/>
  <c r="I42" i="160"/>
  <c r="I47" i="160" s="1"/>
  <c r="M42" i="156"/>
  <c r="M47" i="156" s="1"/>
  <c r="X8" i="50" l="1"/>
  <c r="Y8" i="50"/>
  <c r="X9" i="50"/>
  <c r="Y9" i="50"/>
  <c r="X10" i="50"/>
  <c r="Y10" i="50"/>
  <c r="X11" i="50"/>
  <c r="Y11" i="50"/>
  <c r="X12" i="50"/>
  <c r="Y12" i="50"/>
  <c r="X13" i="50"/>
  <c r="Y13" i="50"/>
  <c r="X14" i="50"/>
  <c r="Y14" i="50"/>
  <c r="X15" i="50"/>
  <c r="Y15" i="50"/>
  <c r="X16" i="50"/>
  <c r="Y16" i="50"/>
  <c r="X18" i="50"/>
  <c r="Y18" i="50"/>
  <c r="X19" i="50"/>
  <c r="Y19" i="50"/>
  <c r="X20" i="50"/>
  <c r="Y20" i="50"/>
  <c r="X21" i="50"/>
  <c r="Y21" i="50"/>
  <c r="X22" i="50"/>
  <c r="Y22" i="50"/>
  <c r="X24" i="50"/>
  <c r="Y24" i="50"/>
  <c r="X26" i="50"/>
  <c r="Y26" i="50"/>
  <c r="X31" i="50"/>
  <c r="Y31" i="50"/>
  <c r="X32" i="50"/>
  <c r="Y32" i="50"/>
  <c r="V23" i="50"/>
  <c r="W23" i="50"/>
  <c r="V24" i="50"/>
  <c r="W24" i="50"/>
  <c r="V28" i="50"/>
  <c r="W28" i="50"/>
  <c r="V29" i="50"/>
  <c r="W29" i="50"/>
  <c r="V30" i="50"/>
  <c r="W30" i="50"/>
  <c r="V31" i="50"/>
  <c r="W31" i="50"/>
  <c r="V32" i="50"/>
  <c r="W32" i="50"/>
  <c r="V33" i="50"/>
  <c r="W33" i="50"/>
  <c r="V34" i="50"/>
  <c r="W34" i="50"/>
  <c r="V35" i="50"/>
  <c r="W35" i="50"/>
  <c r="V36" i="50"/>
  <c r="W36" i="50"/>
  <c r="V37" i="50"/>
  <c r="W37" i="50"/>
  <c r="S36" i="50"/>
  <c r="T36" i="50"/>
  <c r="U36" i="50"/>
  <c r="S37" i="50"/>
  <c r="T37" i="50"/>
  <c r="U37" i="50"/>
  <c r="J10" i="50"/>
  <c r="J11" i="50"/>
  <c r="J12" i="50"/>
  <c r="J13" i="50"/>
  <c r="J14" i="50"/>
  <c r="I15" i="50"/>
  <c r="J15" i="50"/>
  <c r="I16" i="50"/>
  <c r="J16" i="50"/>
  <c r="K16" i="50"/>
  <c r="F17" i="50"/>
  <c r="G17" i="50"/>
  <c r="I17" i="50"/>
  <c r="J17" i="50"/>
  <c r="K17" i="50"/>
  <c r="I18" i="50"/>
  <c r="J18" i="50"/>
  <c r="K18" i="50"/>
  <c r="B19" i="50"/>
  <c r="G19" i="50"/>
  <c r="I19" i="50"/>
  <c r="J19" i="50"/>
  <c r="K19" i="50"/>
  <c r="B20" i="50"/>
  <c r="C20" i="50"/>
  <c r="G20" i="50"/>
  <c r="I20" i="50"/>
  <c r="J20" i="50"/>
  <c r="K20" i="50"/>
  <c r="B21" i="50"/>
  <c r="C21" i="50"/>
  <c r="G21" i="50"/>
  <c r="I21" i="50"/>
  <c r="J21" i="50"/>
  <c r="K21" i="50"/>
  <c r="B22" i="50"/>
  <c r="F22" i="50"/>
  <c r="G22" i="50"/>
  <c r="I22" i="50"/>
  <c r="J22" i="50"/>
  <c r="K22" i="50"/>
  <c r="B23" i="50"/>
  <c r="C23" i="50"/>
  <c r="F23" i="50"/>
  <c r="G23" i="50"/>
  <c r="I23" i="50"/>
  <c r="J23" i="50"/>
  <c r="K23" i="50"/>
  <c r="B24" i="50"/>
  <c r="C24" i="50"/>
  <c r="F24" i="50"/>
  <c r="G24" i="50"/>
  <c r="I24" i="50"/>
  <c r="J24" i="50"/>
  <c r="K24" i="50"/>
  <c r="B25" i="50"/>
  <c r="C25" i="50"/>
  <c r="F25" i="50"/>
  <c r="G25" i="50"/>
  <c r="I25" i="50"/>
  <c r="J25" i="50"/>
  <c r="K25" i="50"/>
  <c r="B26" i="50"/>
  <c r="C26" i="50"/>
  <c r="F26" i="50"/>
  <c r="G26" i="50"/>
  <c r="I26" i="50"/>
  <c r="J26" i="50"/>
  <c r="K26" i="50"/>
  <c r="B27" i="50"/>
  <c r="C27" i="50"/>
  <c r="F27" i="50"/>
  <c r="G27" i="50"/>
  <c r="I27" i="50"/>
  <c r="J27" i="50"/>
  <c r="K27" i="50"/>
  <c r="B28" i="50"/>
  <c r="C28" i="50"/>
  <c r="F28" i="50"/>
  <c r="G28" i="50"/>
  <c r="I28" i="50"/>
  <c r="J28" i="50"/>
  <c r="K28" i="50"/>
  <c r="B29" i="50"/>
  <c r="C29" i="50"/>
  <c r="D29" i="50"/>
  <c r="F29" i="50"/>
  <c r="G29" i="50"/>
  <c r="I29" i="50"/>
  <c r="J29" i="50"/>
  <c r="K29" i="50"/>
  <c r="B30" i="50"/>
  <c r="C30" i="50"/>
  <c r="D30" i="50"/>
  <c r="E30" i="50"/>
  <c r="F30" i="50"/>
  <c r="G30" i="50"/>
  <c r="I30" i="50"/>
  <c r="J30" i="50"/>
  <c r="K30" i="50"/>
  <c r="B31" i="50"/>
  <c r="C31" i="50"/>
  <c r="D31" i="50"/>
  <c r="E31" i="50"/>
  <c r="F31" i="50"/>
  <c r="G31" i="50"/>
  <c r="I31" i="50"/>
  <c r="J31" i="50"/>
  <c r="K31" i="50"/>
  <c r="B32" i="50"/>
  <c r="C32" i="50"/>
  <c r="D32" i="50"/>
  <c r="E32" i="50"/>
  <c r="F32" i="50"/>
  <c r="G32" i="50"/>
  <c r="I32" i="50"/>
  <c r="J32" i="50"/>
  <c r="K32" i="50"/>
  <c r="B33" i="50"/>
  <c r="C33" i="50"/>
  <c r="D33" i="50"/>
  <c r="E33" i="50"/>
  <c r="F33" i="50"/>
  <c r="G33" i="50"/>
  <c r="I33" i="50"/>
  <c r="J33" i="50"/>
  <c r="K33" i="50"/>
  <c r="B34" i="50"/>
  <c r="C34" i="50"/>
  <c r="D34" i="50"/>
  <c r="E34" i="50"/>
  <c r="F34" i="50"/>
  <c r="G34" i="50"/>
  <c r="I34" i="50"/>
  <c r="J34" i="50"/>
  <c r="K34" i="50"/>
  <c r="B35" i="50"/>
  <c r="C35" i="50"/>
  <c r="D35" i="50"/>
  <c r="E35" i="50"/>
  <c r="F35" i="50"/>
  <c r="G35" i="50"/>
  <c r="I35" i="50"/>
  <c r="J35" i="50"/>
  <c r="K35" i="50"/>
  <c r="B36" i="50"/>
  <c r="C36" i="50"/>
  <c r="D36" i="50"/>
  <c r="E36" i="50"/>
  <c r="F36" i="50"/>
  <c r="G36" i="50"/>
  <c r="I36" i="50"/>
  <c r="J36" i="50"/>
  <c r="K36" i="50"/>
  <c r="B37" i="50"/>
  <c r="C37" i="50"/>
  <c r="D37" i="50"/>
  <c r="E37" i="50"/>
  <c r="F37" i="50"/>
  <c r="G37" i="50"/>
  <c r="I37" i="50"/>
  <c r="J37" i="50"/>
  <c r="K37" i="50"/>
  <c r="L37" i="50" l="1"/>
  <c r="AH37" i="50" s="1"/>
  <c r="L35" i="50"/>
  <c r="L33" i="50"/>
  <c r="L31" i="50"/>
  <c r="L36" i="50"/>
  <c r="AH36" i="50" s="1"/>
  <c r="L34" i="50"/>
  <c r="L32" i="50"/>
  <c r="L30" i="50"/>
  <c r="V39" i="165" l="1"/>
  <c r="Y30" i="165" l="1"/>
  <c r="Y32" i="165"/>
  <c r="Y34" i="165"/>
  <c r="Y36" i="165"/>
  <c r="O30" i="165"/>
  <c r="P30" i="165"/>
  <c r="O31" i="165"/>
  <c r="S31" i="165" s="1"/>
  <c r="C31" i="33" s="1"/>
  <c r="P31" i="165"/>
  <c r="O32" i="165"/>
  <c r="P32" i="165"/>
  <c r="O33" i="165"/>
  <c r="S33" i="165" s="1"/>
  <c r="C33" i="33" s="1"/>
  <c r="P33" i="165"/>
  <c r="O34" i="165"/>
  <c r="P34" i="165"/>
  <c r="T34" i="165" s="1"/>
  <c r="D34" i="33" s="1"/>
  <c r="O35" i="165"/>
  <c r="S35" i="165" s="1"/>
  <c r="C35" i="33" s="1"/>
  <c r="P35" i="165"/>
  <c r="T35" i="165" s="1"/>
  <c r="D35" i="33" s="1"/>
  <c r="O36" i="165"/>
  <c r="P36" i="165"/>
  <c r="T36" i="165" s="1"/>
  <c r="D36" i="33" s="1"/>
  <c r="O37" i="165"/>
  <c r="S37" i="165" s="1"/>
  <c r="C37" i="33" s="1"/>
  <c r="P37" i="165"/>
  <c r="T37" i="165" s="1"/>
  <c r="D37" i="33" s="1"/>
  <c r="N30" i="165"/>
  <c r="N31" i="165"/>
  <c r="N32" i="165"/>
  <c r="N33" i="165"/>
  <c r="N34" i="165"/>
  <c r="N35" i="165"/>
  <c r="N36" i="165"/>
  <c r="R36" i="165" s="1"/>
  <c r="B36" i="33" s="1"/>
  <c r="N37" i="165"/>
  <c r="R37" i="165" s="1"/>
  <c r="B37" i="33" s="1"/>
  <c r="E37" i="33" s="1"/>
  <c r="R34" i="165"/>
  <c r="B34" i="33" s="1"/>
  <c r="F19" i="50"/>
  <c r="D21" i="50"/>
  <c r="D24" i="50"/>
  <c r="D25" i="50"/>
  <c r="D26" i="50"/>
  <c r="D27" i="50"/>
  <c r="C18" i="50"/>
  <c r="G18" i="50"/>
  <c r="G16" i="50"/>
  <c r="G14" i="50"/>
  <c r="L37" i="33" l="1"/>
  <c r="L35" i="33"/>
  <c r="Q35" i="165"/>
  <c r="Q36" i="165"/>
  <c r="R35" i="165"/>
  <c r="S36" i="165"/>
  <c r="C36" i="33" s="1"/>
  <c r="E36" i="33" s="1"/>
  <c r="AB35" i="165"/>
  <c r="AB36" i="165"/>
  <c r="AB34" i="165"/>
  <c r="AB37" i="165"/>
  <c r="AA37" i="165"/>
  <c r="AA35" i="165"/>
  <c r="Z36" i="165"/>
  <c r="T33" i="165"/>
  <c r="T31" i="165"/>
  <c r="R30" i="165"/>
  <c r="B30" i="33" s="1"/>
  <c r="R32" i="165"/>
  <c r="T32" i="165"/>
  <c r="D32" i="33" s="1"/>
  <c r="T30" i="165"/>
  <c r="D30" i="33" s="1"/>
  <c r="Q30" i="165"/>
  <c r="AA33" i="165"/>
  <c r="AA31" i="165"/>
  <c r="S32" i="165"/>
  <c r="S30" i="165"/>
  <c r="C30" i="33" s="1"/>
  <c r="Q32" i="165"/>
  <c r="Q31" i="165"/>
  <c r="R33" i="165"/>
  <c r="Q34" i="165"/>
  <c r="R31" i="165"/>
  <c r="B31" i="33" s="1"/>
  <c r="B10" i="143"/>
  <c r="B14" i="143" s="1"/>
  <c r="B23" i="143"/>
  <c r="B27" i="143" s="1"/>
  <c r="Z34" i="165"/>
  <c r="Q37" i="165"/>
  <c r="Q33" i="165"/>
  <c r="S34" i="165"/>
  <c r="C34" i="33" s="1"/>
  <c r="E34" i="33" s="1"/>
  <c r="Y35" i="165"/>
  <c r="Y31" i="165"/>
  <c r="Z37" i="165"/>
  <c r="U37" i="165"/>
  <c r="Y37" i="165"/>
  <c r="Y33" i="165"/>
  <c r="I10" i="50"/>
  <c r="B12" i="50"/>
  <c r="C17" i="50"/>
  <c r="E10" i="50"/>
  <c r="D11" i="50"/>
  <c r="D17" i="50"/>
  <c r="D10" i="50"/>
  <c r="E11" i="50"/>
  <c r="C10" i="50"/>
  <c r="B17" i="50"/>
  <c r="E17" i="50"/>
  <c r="B11" i="50"/>
  <c r="B10" i="50"/>
  <c r="Z32" i="165" l="1"/>
  <c r="B32" i="33"/>
  <c r="Z35" i="165"/>
  <c r="AC35" i="165" s="1"/>
  <c r="B35" i="33"/>
  <c r="E35" i="33" s="1"/>
  <c r="E30" i="33"/>
  <c r="Z33" i="165"/>
  <c r="B33" i="33"/>
  <c r="AA32" i="165"/>
  <c r="C32" i="33"/>
  <c r="AB31" i="165"/>
  <c r="D31" i="33"/>
  <c r="E31" i="33" s="1"/>
  <c r="AB33" i="165"/>
  <c r="AC33" i="165" s="1"/>
  <c r="D33" i="33"/>
  <c r="L33" i="33" s="1"/>
  <c r="J30" i="33"/>
  <c r="L34" i="33"/>
  <c r="K37" i="33"/>
  <c r="AA36" i="165"/>
  <c r="K36" i="33"/>
  <c r="L36" i="33"/>
  <c r="K30" i="33"/>
  <c r="K35" i="33"/>
  <c r="K33" i="33"/>
  <c r="J34" i="33"/>
  <c r="K32" i="33"/>
  <c r="L30" i="33"/>
  <c r="U35" i="165"/>
  <c r="U36" i="165"/>
  <c r="F10" i="50"/>
  <c r="K11" i="50"/>
  <c r="K10" i="50"/>
  <c r="U33" i="165"/>
  <c r="J37" i="33"/>
  <c r="J36" i="33"/>
  <c r="AC37" i="165"/>
  <c r="AA34" i="165"/>
  <c r="AC34" i="165" s="1"/>
  <c r="K34" i="33"/>
  <c r="AC36" i="165"/>
  <c r="U30" i="165"/>
  <c r="Z30" i="165"/>
  <c r="U32" i="165"/>
  <c r="J32" i="33"/>
  <c r="AB30" i="165"/>
  <c r="AB32" i="165"/>
  <c r="L32" i="33"/>
  <c r="AA30" i="165"/>
  <c r="K31" i="33"/>
  <c r="U31" i="165"/>
  <c r="Z31" i="165"/>
  <c r="AC31" i="165" s="1"/>
  <c r="L17" i="50"/>
  <c r="BX11" i="64"/>
  <c r="BZ11" i="64" s="1"/>
  <c r="U34" i="165"/>
  <c r="E33" i="33" l="1"/>
  <c r="J35" i="33"/>
  <c r="AC32" i="165"/>
  <c r="E32" i="33"/>
  <c r="L31" i="33"/>
  <c r="M35" i="33"/>
  <c r="M36" i="33"/>
  <c r="M30" i="33"/>
  <c r="M34" i="33"/>
  <c r="M37" i="33"/>
  <c r="M32" i="33"/>
  <c r="G10" i="50"/>
  <c r="L10" i="50" s="1"/>
  <c r="G11" i="50"/>
  <c r="AC30" i="165"/>
  <c r="J33" i="33"/>
  <c r="M33" i="33" s="1"/>
  <c r="J31" i="33"/>
  <c r="M31" i="33" s="1"/>
  <c r="M17" i="41" l="1"/>
  <c r="O36" i="162"/>
  <c r="P36" i="162"/>
  <c r="O37" i="162"/>
  <c r="P37" i="162"/>
  <c r="O38" i="162"/>
  <c r="P38" i="162"/>
  <c r="N36" i="162"/>
  <c r="N37" i="162"/>
  <c r="N38" i="162"/>
  <c r="M32" i="162"/>
  <c r="M36" i="162"/>
  <c r="I33" i="162"/>
  <c r="I37" i="162"/>
  <c r="E33" i="162"/>
  <c r="E37" i="162"/>
  <c r="V45" i="8"/>
  <c r="T45" i="8"/>
  <c r="X13" i="143" s="1"/>
  <c r="R45" i="8"/>
  <c r="P45" i="8"/>
  <c r="W13" i="143"/>
  <c r="W26" i="143" s="1"/>
  <c r="W12" i="143"/>
  <c r="W25" i="143" s="1"/>
  <c r="O35" i="160"/>
  <c r="S35" i="160" s="1"/>
  <c r="P35" i="160"/>
  <c r="O36" i="160"/>
  <c r="P36" i="160"/>
  <c r="T36" i="160" s="1"/>
  <c r="O37" i="160"/>
  <c r="P37" i="160"/>
  <c r="N35" i="160"/>
  <c r="N36" i="160"/>
  <c r="N37" i="160"/>
  <c r="R37" i="160" s="1"/>
  <c r="Z36" i="159"/>
  <c r="Z37" i="159"/>
  <c r="V36" i="159"/>
  <c r="V37" i="159"/>
  <c r="O36" i="159"/>
  <c r="P36" i="159"/>
  <c r="O37" i="159"/>
  <c r="P37" i="159"/>
  <c r="N36" i="159"/>
  <c r="N37" i="159"/>
  <c r="M36" i="159"/>
  <c r="E36" i="159"/>
  <c r="S36" i="159"/>
  <c r="V23" i="156"/>
  <c r="V24" i="156"/>
  <c r="V28" i="156"/>
  <c r="V29" i="156"/>
  <c r="V30" i="156"/>
  <c r="V31" i="156"/>
  <c r="V32" i="156"/>
  <c r="V33" i="156"/>
  <c r="V34" i="156"/>
  <c r="V35" i="156"/>
  <c r="V36" i="156"/>
  <c r="V37" i="156"/>
  <c r="O35" i="156"/>
  <c r="S35" i="156" s="1"/>
  <c r="P35" i="156"/>
  <c r="T35" i="156" s="1"/>
  <c r="O36" i="156"/>
  <c r="S36" i="156" s="1"/>
  <c r="P36" i="156"/>
  <c r="T36" i="156" s="1"/>
  <c r="O37" i="156"/>
  <c r="S37" i="156" s="1"/>
  <c r="P37" i="156"/>
  <c r="T37" i="156" s="1"/>
  <c r="N35" i="156"/>
  <c r="R35" i="156" s="1"/>
  <c r="N36" i="156"/>
  <c r="R36" i="156" s="1"/>
  <c r="N37" i="156"/>
  <c r="R37" i="156" s="1"/>
  <c r="W27" i="50"/>
  <c r="W26" i="50"/>
  <c r="W8" i="50"/>
  <c r="W9" i="50"/>
  <c r="W10" i="50"/>
  <c r="W11" i="50"/>
  <c r="W12" i="50"/>
  <c r="W13" i="50"/>
  <c r="W14" i="50"/>
  <c r="W15" i="50"/>
  <c r="W16" i="50"/>
  <c r="W18" i="50"/>
  <c r="W19" i="50"/>
  <c r="W20" i="50"/>
  <c r="W22" i="50"/>
  <c r="W25" i="50"/>
  <c r="X26" i="143" l="1"/>
  <c r="Q37" i="162"/>
  <c r="P42" i="160"/>
  <c r="O42" i="160"/>
  <c r="N42" i="160"/>
  <c r="O42" i="156"/>
  <c r="V42" i="156"/>
  <c r="P42" i="156"/>
  <c r="N42" i="156"/>
  <c r="Q36" i="162"/>
  <c r="Q38" i="162"/>
  <c r="Q37" i="159"/>
  <c r="T42" i="156"/>
  <c r="U51" i="8"/>
  <c r="M33" i="162"/>
  <c r="M35" i="162"/>
  <c r="M31" i="162"/>
  <c r="M37" i="162"/>
  <c r="E36" i="162"/>
  <c r="I36" i="162"/>
  <c r="E35" i="162"/>
  <c r="E31" i="162"/>
  <c r="I35" i="162"/>
  <c r="I31" i="162"/>
  <c r="E32" i="162"/>
  <c r="I32" i="162"/>
  <c r="E38" i="162"/>
  <c r="E34" i="162"/>
  <c r="E30" i="162"/>
  <c r="T38" i="162"/>
  <c r="T36" i="162"/>
  <c r="I38" i="162"/>
  <c r="I34" i="162"/>
  <c r="I30" i="162"/>
  <c r="M38" i="162"/>
  <c r="M34" i="162"/>
  <c r="M30" i="162"/>
  <c r="S38" i="162"/>
  <c r="W7" i="50"/>
  <c r="G39" i="96"/>
  <c r="W39" i="143" s="1"/>
  <c r="E40" i="96"/>
  <c r="E39" i="96"/>
  <c r="W21" i="50"/>
  <c r="G40" i="96"/>
  <c r="W40" i="143" s="1"/>
  <c r="W17" i="50"/>
  <c r="D40" i="96"/>
  <c r="D39" i="96"/>
  <c r="I36" i="159"/>
  <c r="E37" i="159"/>
  <c r="M37" i="159"/>
  <c r="Q36" i="159"/>
  <c r="V9" i="50"/>
  <c r="V13" i="50"/>
  <c r="F16" i="96"/>
  <c r="F20" i="96"/>
  <c r="C40" i="96"/>
  <c r="C39" i="96"/>
  <c r="V11" i="50"/>
  <c r="F14" i="96"/>
  <c r="F18" i="96"/>
  <c r="Q35" i="156"/>
  <c r="V25" i="50"/>
  <c r="Q36" i="156"/>
  <c r="Q37" i="156"/>
  <c r="V25" i="156"/>
  <c r="V21" i="156"/>
  <c r="V17" i="156"/>
  <c r="V13" i="156"/>
  <c r="V9" i="156"/>
  <c r="V27" i="50"/>
  <c r="V20" i="156"/>
  <c r="V16" i="156"/>
  <c r="V12" i="156"/>
  <c r="V8" i="156"/>
  <c r="V27" i="156"/>
  <c r="V19" i="156"/>
  <c r="V15" i="156"/>
  <c r="V11" i="156"/>
  <c r="F15" i="96"/>
  <c r="F19" i="96"/>
  <c r="G38" i="96"/>
  <c r="V7" i="156"/>
  <c r="V26" i="156"/>
  <c r="V22" i="156"/>
  <c r="V18" i="156"/>
  <c r="V14" i="156"/>
  <c r="V10" i="156"/>
  <c r="T37" i="162"/>
  <c r="S36" i="162"/>
  <c r="R38" i="162"/>
  <c r="S37" i="162"/>
  <c r="R37" i="162"/>
  <c r="R36" i="162"/>
  <c r="I37" i="159"/>
  <c r="R36" i="160"/>
  <c r="S36" i="160"/>
  <c r="E30" i="160"/>
  <c r="E37" i="160"/>
  <c r="E29" i="160"/>
  <c r="Q36" i="160"/>
  <c r="R35" i="160"/>
  <c r="T37" i="160"/>
  <c r="T35" i="160"/>
  <c r="S37" i="160"/>
  <c r="I30" i="160"/>
  <c r="E32" i="160"/>
  <c r="I29" i="160"/>
  <c r="M36" i="160"/>
  <c r="M34" i="160"/>
  <c r="M30" i="160"/>
  <c r="M37" i="160"/>
  <c r="M33" i="160"/>
  <c r="I37" i="160"/>
  <c r="I33" i="160"/>
  <c r="M32" i="160"/>
  <c r="E36" i="160"/>
  <c r="Q37" i="160"/>
  <c r="E33" i="160"/>
  <c r="M35" i="160"/>
  <c r="M31" i="160"/>
  <c r="M29" i="160"/>
  <c r="I36" i="160"/>
  <c r="I32" i="160"/>
  <c r="I34" i="160"/>
  <c r="I31" i="160"/>
  <c r="I35" i="160"/>
  <c r="E34" i="160"/>
  <c r="E31" i="160"/>
  <c r="Q35" i="160"/>
  <c r="E35" i="160"/>
  <c r="S37" i="159"/>
  <c r="T36" i="159"/>
  <c r="T37" i="159"/>
  <c r="R37" i="159"/>
  <c r="R36" i="159"/>
  <c r="F9" i="96"/>
  <c r="F13" i="96"/>
  <c r="F17" i="96"/>
  <c r="F21" i="96"/>
  <c r="H19" i="96" l="1"/>
  <c r="H15" i="96"/>
  <c r="H20" i="96"/>
  <c r="H21" i="96"/>
  <c r="H17" i="96"/>
  <c r="H16" i="96"/>
  <c r="H13" i="96"/>
  <c r="R42" i="160"/>
  <c r="V19" i="50"/>
  <c r="H18" i="96"/>
  <c r="V15" i="50"/>
  <c r="H14" i="96"/>
  <c r="Q42" i="156"/>
  <c r="Q47" i="156" s="1"/>
  <c r="W42" i="143"/>
  <c r="G47" i="96"/>
  <c r="Q42" i="160"/>
  <c r="Q47" i="160" s="1"/>
  <c r="R42" i="156"/>
  <c r="S42" i="156"/>
  <c r="T42" i="160"/>
  <c r="S42" i="160"/>
  <c r="U37" i="160"/>
  <c r="U36" i="160"/>
  <c r="U37" i="162"/>
  <c r="U36" i="162"/>
  <c r="U38" i="162"/>
  <c r="V39" i="156"/>
  <c r="I8" i="187" s="1"/>
  <c r="V40" i="156"/>
  <c r="V41" i="156"/>
  <c r="G8" i="187" s="1"/>
  <c r="V17" i="50"/>
  <c r="F39" i="96"/>
  <c r="V21" i="50"/>
  <c r="F40" i="96"/>
  <c r="W35" i="143" s="1"/>
  <c r="U37" i="156"/>
  <c r="U35" i="156"/>
  <c r="U36" i="156"/>
  <c r="V7" i="50"/>
  <c r="V20" i="50"/>
  <c r="V22" i="50"/>
  <c r="V16" i="50"/>
  <c r="V18" i="50"/>
  <c r="V12" i="50"/>
  <c r="V10" i="50"/>
  <c r="H9" i="96"/>
  <c r="V26" i="50"/>
  <c r="V14" i="50"/>
  <c r="V8" i="50"/>
  <c r="U36" i="159"/>
  <c r="AD36" i="159"/>
  <c r="AD37" i="159"/>
  <c r="U37" i="159"/>
  <c r="U35" i="160"/>
  <c r="Z37" i="156"/>
  <c r="Z36" i="156"/>
  <c r="Z35" i="156"/>
  <c r="Z42" i="156" l="1"/>
  <c r="U42" i="156"/>
  <c r="U47" i="156" s="1"/>
  <c r="U42" i="160"/>
  <c r="U47" i="160" s="1"/>
  <c r="H40" i="96"/>
  <c r="W52" i="143" s="1"/>
  <c r="W34" i="143"/>
  <c r="H39" i="96"/>
  <c r="W51" i="143" s="1"/>
  <c r="F8" i="187"/>
  <c r="D41" i="157" l="1"/>
  <c r="K42" i="159"/>
  <c r="L42" i="159"/>
  <c r="J42" i="159"/>
  <c r="M42" i="159" l="1"/>
  <c r="M47" i="159" s="1"/>
  <c r="M35" i="159"/>
  <c r="C42" i="159"/>
  <c r="B41" i="157"/>
  <c r="D42" i="159"/>
  <c r="B42" i="159"/>
  <c r="B40" i="157"/>
  <c r="F42" i="159"/>
  <c r="G42" i="159"/>
  <c r="H42" i="159"/>
  <c r="C41" i="157"/>
  <c r="I42" i="159" l="1"/>
  <c r="I47" i="159" s="1"/>
  <c r="I30" i="159"/>
  <c r="E32" i="159"/>
  <c r="E42" i="159"/>
  <c r="E47" i="159" s="1"/>
  <c r="M29" i="159"/>
  <c r="M31" i="159"/>
  <c r="I32" i="159"/>
  <c r="M32" i="159"/>
  <c r="I31" i="159"/>
  <c r="M33" i="159"/>
  <c r="I35" i="159"/>
  <c r="E29" i="159"/>
  <c r="M30" i="159"/>
  <c r="E35" i="159"/>
  <c r="I34" i="159"/>
  <c r="E33" i="159"/>
  <c r="E31" i="159"/>
  <c r="I29" i="159"/>
  <c r="M34" i="159"/>
  <c r="E34" i="159"/>
  <c r="E30" i="159"/>
  <c r="I33" i="159"/>
  <c r="O35" i="159" l="1"/>
  <c r="O42" i="159" s="1"/>
  <c r="P35" i="159"/>
  <c r="P42" i="159" s="1"/>
  <c r="N35" i="159"/>
  <c r="N42" i="159" s="1"/>
  <c r="E41" i="157"/>
  <c r="Q42" i="159" l="1"/>
  <c r="Q47" i="159" s="1"/>
  <c r="S35" i="50"/>
  <c r="AH35" i="50" s="1"/>
  <c r="Q35" i="159"/>
  <c r="R35" i="159"/>
  <c r="S35" i="159"/>
  <c r="S42" i="159" s="1"/>
  <c r="T35" i="159"/>
  <c r="T42" i="159" s="1"/>
  <c r="R42" i="159" l="1"/>
  <c r="U35" i="159"/>
  <c r="X25" i="50"/>
  <c r="U42" i="159" l="1"/>
  <c r="U47" i="159" s="1"/>
  <c r="X34" i="50"/>
  <c r="X36" i="50"/>
  <c r="AI36" i="50" s="1"/>
  <c r="X35" i="50"/>
  <c r="B41" i="19"/>
  <c r="X37" i="50"/>
  <c r="AI37" i="50" s="1"/>
  <c r="AJ36" i="50" l="1"/>
  <c r="AL36" i="50" s="1"/>
  <c r="AJ37" i="50"/>
  <c r="AL37" i="50" s="1"/>
  <c r="N51" i="8"/>
  <c r="E20" i="50" l="1"/>
  <c r="E21" i="50"/>
  <c r="F21" i="50"/>
  <c r="F20" i="50" l="1"/>
  <c r="Y33" i="50"/>
  <c r="P41" i="8"/>
  <c r="P44" i="8"/>
  <c r="R41" i="8"/>
  <c r="Y17" i="50"/>
  <c r="P43" i="8"/>
  <c r="R43" i="8"/>
  <c r="Y23" i="50"/>
  <c r="Y29" i="50"/>
  <c r="Y27" i="50"/>
  <c r="R44" i="8"/>
  <c r="Y28" i="50"/>
  <c r="Y30" i="50"/>
  <c r="L21" i="50"/>
  <c r="F14" i="151"/>
  <c r="T42" i="8" l="1"/>
  <c r="P7" i="50"/>
  <c r="D47" i="151"/>
  <c r="C47" i="151"/>
  <c r="Z14" i="50"/>
  <c r="Z15" i="50"/>
  <c r="H14" i="151"/>
  <c r="Z7" i="50"/>
  <c r="R51" i="8"/>
  <c r="P51" i="8"/>
  <c r="S51" i="8"/>
  <c r="T43" i="8"/>
  <c r="X11" i="143" s="1"/>
  <c r="X24" i="143" s="1"/>
  <c r="X10" i="143"/>
  <c r="X23" i="143" s="1"/>
  <c r="T41" i="8"/>
  <c r="V42" i="8"/>
  <c r="Q51" i="8"/>
  <c r="E39" i="151"/>
  <c r="B39" i="151"/>
  <c r="T44" i="8"/>
  <c r="E38" i="151"/>
  <c r="B38" i="151"/>
  <c r="X12" i="143" l="1"/>
  <c r="X25" i="143" s="1"/>
  <c r="X27" i="143" s="1"/>
  <c r="F39" i="151"/>
  <c r="H39" i="151" s="1"/>
  <c r="Y51" i="143" s="1"/>
  <c r="E47" i="151"/>
  <c r="B47" i="151"/>
  <c r="Z12" i="50"/>
  <c r="Z13" i="50"/>
  <c r="Z11" i="50"/>
  <c r="F38" i="151"/>
  <c r="V44" i="8"/>
  <c r="X14" i="143"/>
  <c r="T51" i="8"/>
  <c r="V41" i="8"/>
  <c r="V43" i="8"/>
  <c r="F47" i="151" l="1"/>
  <c r="Y37" i="143"/>
  <c r="H38" i="151"/>
  <c r="Z39" i="50"/>
  <c r="Y34" i="143"/>
  <c r="V51" i="8"/>
  <c r="Y54" i="143" l="1"/>
  <c r="H47" i="151"/>
  <c r="X65" i="143" l="1"/>
  <c r="X67" i="143"/>
  <c r="X66" i="143" l="1"/>
  <c r="X62" i="143" l="1"/>
  <c r="X61" i="143"/>
  <c r="X71" i="143" l="1"/>
  <c r="W11" i="143"/>
  <c r="W24" i="143" s="1"/>
  <c r="W10" i="143" l="1"/>
  <c r="W23" i="143" s="1"/>
  <c r="W27" i="143" s="1"/>
  <c r="O7" i="50"/>
  <c r="X70" i="143"/>
  <c r="W14" i="143" l="1"/>
  <c r="M51" i="8"/>
  <c r="O51" i="8" l="1"/>
  <c r="B18" i="50" l="1"/>
  <c r="D23" i="50"/>
  <c r="D22" i="50"/>
  <c r="B16" i="50" l="1"/>
  <c r="I13" i="50" l="1"/>
  <c r="D15" i="50"/>
  <c r="I12" i="50"/>
  <c r="I14" i="50"/>
  <c r="J7" i="50"/>
  <c r="D12" i="50"/>
  <c r="D13" i="50"/>
  <c r="D18" i="50"/>
  <c r="D14" i="50"/>
  <c r="C9" i="50"/>
  <c r="C22" i="50"/>
  <c r="D9" i="50"/>
  <c r="D19" i="50"/>
  <c r="G15" i="50"/>
  <c r="E7" i="50"/>
  <c r="E12" i="50"/>
  <c r="E23" i="50"/>
  <c r="L23" i="50" s="1"/>
  <c r="C15" i="50"/>
  <c r="D20" i="50"/>
  <c r="L20" i="50" s="1"/>
  <c r="I8" i="50"/>
  <c r="J8" i="50"/>
  <c r="E8" i="50"/>
  <c r="E13" i="50"/>
  <c r="E24" i="50"/>
  <c r="L24" i="50" s="1"/>
  <c r="C12" i="50"/>
  <c r="D28" i="50"/>
  <c r="I9" i="50"/>
  <c r="J9" i="50"/>
  <c r="E9" i="50"/>
  <c r="E14" i="50"/>
  <c r="E19" i="50"/>
  <c r="E25" i="50"/>
  <c r="L25" i="50" s="1"/>
  <c r="E29" i="50"/>
  <c r="L29" i="50" s="1"/>
  <c r="C14" i="50"/>
  <c r="E27" i="50"/>
  <c r="L27" i="50" s="1"/>
  <c r="E18" i="50"/>
  <c r="E28" i="50"/>
  <c r="B15" i="50"/>
  <c r="B14" i="50"/>
  <c r="C8" i="50"/>
  <c r="C13" i="50"/>
  <c r="C19" i="50"/>
  <c r="D8" i="50"/>
  <c r="E15" i="50"/>
  <c r="E22" i="50"/>
  <c r="E26" i="50"/>
  <c r="L26" i="50" s="1"/>
  <c r="F16" i="50" l="1"/>
  <c r="F12" i="50"/>
  <c r="F9" i="50"/>
  <c r="F18" i="50"/>
  <c r="L18" i="50" s="1"/>
  <c r="F13" i="50"/>
  <c r="F15" i="50"/>
  <c r="F14" i="50"/>
  <c r="K13" i="50"/>
  <c r="K15" i="50"/>
  <c r="K14" i="50"/>
  <c r="K12" i="50"/>
  <c r="K9" i="50"/>
  <c r="L22" i="50"/>
  <c r="F11" i="50"/>
  <c r="L28" i="50"/>
  <c r="L19" i="50"/>
  <c r="I11" i="50"/>
  <c r="Y3" i="143"/>
  <c r="K8" i="50"/>
  <c r="AD3" i="143"/>
  <c r="G12" i="50" l="1"/>
  <c r="G13" i="50"/>
  <c r="G8" i="50"/>
  <c r="G9" i="50"/>
  <c r="L12" i="50"/>
  <c r="L14" i="50"/>
  <c r="L15" i="50"/>
  <c r="X3" i="143"/>
  <c r="D7" i="50"/>
  <c r="AC3" i="143"/>
  <c r="I7" i="50"/>
  <c r="B9" i="50"/>
  <c r="D16" i="50"/>
  <c r="AA3" i="143"/>
  <c r="G7" i="50"/>
  <c r="C16" i="50"/>
  <c r="B8" i="50"/>
  <c r="C11" i="50"/>
  <c r="L11" i="50" s="1"/>
  <c r="W3" i="143"/>
  <c r="C7" i="50"/>
  <c r="Z3" i="143"/>
  <c r="F8" i="50"/>
  <c r="E16" i="50"/>
  <c r="B13" i="50"/>
  <c r="L13" i="50" l="1"/>
  <c r="L9" i="50"/>
  <c r="L16" i="50"/>
  <c r="L8" i="50"/>
  <c r="F40" i="64" l="1"/>
  <c r="B40" i="64"/>
  <c r="B7" i="50" l="1"/>
  <c r="H40" i="64"/>
  <c r="V3" i="143" l="1"/>
  <c r="C38" i="96"/>
  <c r="C47" i="96" s="1"/>
  <c r="D38" i="96"/>
  <c r="D47" i="96" s="1"/>
  <c r="L51" i="8" l="1"/>
  <c r="J51" i="8"/>
  <c r="H38" i="96" l="1"/>
  <c r="H47" i="96" s="1"/>
  <c r="F38" i="96"/>
  <c r="E38" i="96"/>
  <c r="E47" i="96" s="1"/>
  <c r="F47" i="96" l="1"/>
  <c r="K51" i="8"/>
  <c r="X63" i="143"/>
  <c r="I51" i="8"/>
  <c r="W37" i="143"/>
  <c r="W54" i="143"/>
  <c r="A10" i="120" l="1"/>
  <c r="A11" i="120" s="1"/>
  <c r="A12" i="120" s="1"/>
  <c r="A13" i="120" s="1"/>
  <c r="A14" i="120" l="1"/>
  <c r="A15" i="120" s="1"/>
  <c r="A16" i="120" s="1"/>
  <c r="A17" i="120" s="1"/>
  <c r="A18" i="120" s="1"/>
  <c r="A19" i="120" s="1"/>
  <c r="A20" i="120" s="1"/>
  <c r="A21" i="120" s="1"/>
  <c r="A22" i="120" s="1"/>
  <c r="A23" i="120" s="1"/>
  <c r="A24" i="120" l="1"/>
  <c r="A25" i="120" s="1"/>
  <c r="A26" i="120" s="1"/>
  <c r="A27" i="120" s="1"/>
  <c r="A28" i="120" s="1"/>
  <c r="A29" i="120" s="1"/>
  <c r="A30" i="120" s="1"/>
  <c r="A31" i="120" s="1"/>
  <c r="A32" i="120" s="1"/>
  <c r="A33" i="120" s="1"/>
  <c r="A34" i="120" s="1"/>
  <c r="A35" i="120" s="1"/>
  <c r="E8" i="184"/>
  <c r="G8" i="184"/>
  <c r="M8" i="184"/>
  <c r="C8" i="184"/>
  <c r="I8" i="184"/>
  <c r="K8" i="184"/>
  <c r="L8" i="184"/>
  <c r="H8" i="184"/>
  <c r="G8" i="194"/>
  <c r="I8" i="194"/>
  <c r="F8" i="194"/>
  <c r="A36" i="120" l="1"/>
  <c r="A38" i="120" s="1"/>
  <c r="A40" i="120" s="1"/>
  <c r="A42" i="120" s="1"/>
  <c r="A44" i="120" s="1"/>
  <c r="A45" i="120" s="1"/>
  <c r="A46" i="120" s="1"/>
  <c r="A47" i="120" s="1"/>
  <c r="A48" i="120" s="1"/>
  <c r="A49" i="120" s="1"/>
  <c r="A50" i="120" s="1"/>
  <c r="A51" i="120" s="1"/>
  <c r="A52" i="120" s="1"/>
  <c r="A53" i="120" s="1"/>
  <c r="A54" i="120" s="1"/>
  <c r="A55" i="120" s="1"/>
  <c r="A56" i="120" s="1"/>
  <c r="A57" i="120" s="1"/>
  <c r="A58" i="120" s="1"/>
  <c r="A59" i="120" s="1"/>
  <c r="A60" i="120" s="1"/>
  <c r="A61" i="120" s="1"/>
  <c r="A62" i="120" s="1"/>
  <c r="A63" i="120" s="1"/>
  <c r="A64" i="120" s="1"/>
  <c r="A65" i="120" s="1"/>
  <c r="A66" i="120" s="1"/>
  <c r="A37" i="120"/>
  <c r="A39" i="120" s="1"/>
  <c r="A41" i="120" s="1"/>
  <c r="A43" i="120" s="1"/>
  <c r="C52" i="143" l="1"/>
  <c r="D52" i="143"/>
  <c r="E52" i="143"/>
  <c r="F52" i="143"/>
  <c r="T52" i="143"/>
  <c r="C53" i="143"/>
  <c r="D53" i="143"/>
  <c r="E53" i="143"/>
  <c r="F53" i="143"/>
  <c r="B52" i="143"/>
  <c r="B53" i="143"/>
  <c r="C42" i="143"/>
  <c r="D42" i="143"/>
  <c r="E42" i="143"/>
  <c r="F42" i="143"/>
  <c r="T42" i="143"/>
  <c r="B42" i="143"/>
  <c r="C48" i="143"/>
  <c r="D48" i="143"/>
  <c r="E48" i="143"/>
  <c r="F48" i="143"/>
  <c r="B48" i="143"/>
  <c r="F7" i="50"/>
  <c r="D39" i="50" l="1"/>
  <c r="W39" i="50"/>
  <c r="W22" i="245" s="1"/>
  <c r="C39" i="50"/>
  <c r="I39" i="50"/>
  <c r="V39" i="50"/>
  <c r="V22" i="245" s="1"/>
  <c r="B39" i="50"/>
  <c r="P39" i="50"/>
  <c r="E39" i="50"/>
  <c r="J39" i="50"/>
  <c r="G39" i="50"/>
  <c r="F39" i="50"/>
  <c r="O39" i="50"/>
  <c r="F37" i="143" l="1"/>
  <c r="F51" i="143"/>
  <c r="F54" i="143" s="1"/>
  <c r="X72" i="143" l="1"/>
  <c r="T51" i="143" l="1"/>
  <c r="T54" i="143" s="1"/>
  <c r="T37" i="143" l="1"/>
  <c r="D37" i="143" l="1"/>
  <c r="D51" i="143"/>
  <c r="D54" i="143" s="1"/>
  <c r="C37" i="143"/>
  <c r="C51" i="143"/>
  <c r="C54" i="143" s="1"/>
  <c r="BT40" i="64" l="1"/>
  <c r="AE3" i="143" l="1"/>
  <c r="AF3" i="143" s="1"/>
  <c r="K7" i="50"/>
  <c r="L7" i="50" s="1"/>
  <c r="BZ40" i="64"/>
  <c r="BX40" i="64"/>
  <c r="K39" i="50" l="1"/>
  <c r="L39" i="50"/>
  <c r="A15" i="217" l="1"/>
  <c r="B20" i="217" l="1"/>
  <c r="B26" i="217" s="1"/>
  <c r="B19" i="217"/>
  <c r="B25" i="217" s="1"/>
  <c r="B18" i="217"/>
  <c r="B24" i="217" s="1"/>
  <c r="A15" i="194"/>
  <c r="A15" i="187"/>
  <c r="A15" i="184"/>
  <c r="A15" i="189"/>
  <c r="A15" i="192"/>
  <c r="A15" i="191"/>
  <c r="A16" i="175"/>
  <c r="A16" i="199"/>
  <c r="A15" i="190"/>
  <c r="A15" i="196"/>
  <c r="A15" i="193"/>
  <c r="A15" i="42"/>
  <c r="I18" i="194" l="1"/>
  <c r="I24" i="194" s="1"/>
  <c r="G18" i="194"/>
  <c r="G24" i="194" s="1"/>
  <c r="F18" i="194"/>
  <c r="F24" i="194" s="1"/>
  <c r="M18" i="193"/>
  <c r="M24" i="193" s="1"/>
  <c r="K18" i="193"/>
  <c r="K24" i="193" s="1"/>
  <c r="E18" i="193"/>
  <c r="E24" i="193" s="1"/>
  <c r="C18" i="193"/>
  <c r="C24" i="193" s="1"/>
  <c r="L18" i="184"/>
  <c r="L24" i="184" s="1"/>
  <c r="G18" i="184"/>
  <c r="G24" i="184" s="1"/>
  <c r="K18" i="184"/>
  <c r="K24" i="184" s="1"/>
  <c r="E18" i="184"/>
  <c r="E24" i="184" s="1"/>
  <c r="I18" i="184"/>
  <c r="I24" i="184" s="1"/>
  <c r="H18" i="184"/>
  <c r="H24" i="184" s="1"/>
  <c r="C18" i="184"/>
  <c r="C24" i="184" s="1"/>
  <c r="M18" i="184"/>
  <c r="M24" i="184" s="1"/>
  <c r="I18" i="187"/>
  <c r="I24" i="187" s="1"/>
  <c r="F18" i="187"/>
  <c r="F24" i="187" s="1"/>
  <c r="G18" i="187"/>
  <c r="G24" i="187" s="1"/>
  <c r="B27" i="217"/>
  <c r="B22" i="217"/>
  <c r="Z7" i="159" l="1"/>
  <c r="U7" i="50"/>
  <c r="V15" i="159"/>
  <c r="V13" i="159"/>
  <c r="T20" i="50"/>
  <c r="AI20" i="50" s="1"/>
  <c r="F19" i="157"/>
  <c r="S20" i="50" s="1"/>
  <c r="AH20" i="50" s="1"/>
  <c r="V9" i="159"/>
  <c r="T16" i="50"/>
  <c r="AI16" i="50" s="1"/>
  <c r="T11" i="50"/>
  <c r="AI11" i="50" s="1"/>
  <c r="T18" i="50"/>
  <c r="AI18" i="50" s="1"/>
  <c r="T21" i="50"/>
  <c r="AI21" i="50" s="1"/>
  <c r="T22" i="50"/>
  <c r="AI22" i="50" s="1"/>
  <c r="T23" i="50"/>
  <c r="V28" i="159"/>
  <c r="V31" i="159"/>
  <c r="V35" i="159"/>
  <c r="T27" i="50"/>
  <c r="T29" i="50"/>
  <c r="F22" i="157"/>
  <c r="S23" i="50" s="1"/>
  <c r="AH23" i="50" s="1"/>
  <c r="E39" i="157"/>
  <c r="U33" i="50"/>
  <c r="Z33" i="159"/>
  <c r="U15" i="50"/>
  <c r="Z15" i="159"/>
  <c r="U23" i="50"/>
  <c r="Z23" i="159"/>
  <c r="U31" i="50"/>
  <c r="Z31" i="159"/>
  <c r="Z14" i="159"/>
  <c r="U14" i="50"/>
  <c r="Z22" i="159"/>
  <c r="U22" i="50"/>
  <c r="U30" i="50"/>
  <c r="Z30" i="159"/>
  <c r="V24" i="159"/>
  <c r="T24" i="50"/>
  <c r="AI24" i="50" s="1"/>
  <c r="T33" i="50"/>
  <c r="V33" i="159"/>
  <c r="S28" i="50"/>
  <c r="AH28" i="50" s="1"/>
  <c r="Z19" i="159"/>
  <c r="U19" i="50"/>
  <c r="Z27" i="159"/>
  <c r="U27" i="50"/>
  <c r="V11" i="159"/>
  <c r="T25" i="50"/>
  <c r="AI25" i="50" s="1"/>
  <c r="V25" i="159"/>
  <c r="V32" i="159"/>
  <c r="Z9" i="159"/>
  <c r="U9" i="50"/>
  <c r="U13" i="50"/>
  <c r="Z13" i="159"/>
  <c r="U17" i="50"/>
  <c r="Z17" i="159"/>
  <c r="Z21" i="159"/>
  <c r="V46" i="143"/>
  <c r="U21" i="50"/>
  <c r="U25" i="50"/>
  <c r="Z25" i="159"/>
  <c r="U29" i="50"/>
  <c r="Z29" i="159"/>
  <c r="E40" i="157"/>
  <c r="E38" i="157"/>
  <c r="U11" i="50"/>
  <c r="Z11" i="159"/>
  <c r="V47" i="143"/>
  <c r="Z35" i="159"/>
  <c r="U35" i="50"/>
  <c r="F25" i="157"/>
  <c r="U8" i="50"/>
  <c r="Z8" i="159"/>
  <c r="U16" i="50"/>
  <c r="Z16" i="159"/>
  <c r="U32" i="50"/>
  <c r="Z32" i="159"/>
  <c r="F17" i="157"/>
  <c r="S18" i="50" s="1"/>
  <c r="AH18" i="50" s="1"/>
  <c r="Z12" i="159"/>
  <c r="U12" i="50"/>
  <c r="Z20" i="159"/>
  <c r="U20" i="50"/>
  <c r="Z24" i="159"/>
  <c r="U24" i="50"/>
  <c r="U28" i="50"/>
  <c r="Z28" i="159"/>
  <c r="T26" i="50"/>
  <c r="AI26" i="50" s="1"/>
  <c r="V45" i="143"/>
  <c r="U10" i="50"/>
  <c r="Z10" i="159"/>
  <c r="U18" i="50"/>
  <c r="Z18" i="159"/>
  <c r="U26" i="50"/>
  <c r="Z26" i="159"/>
  <c r="Z34" i="159"/>
  <c r="U34" i="50"/>
  <c r="D40" i="157"/>
  <c r="F18" i="157"/>
  <c r="S19" i="50" s="1"/>
  <c r="AH19" i="50" s="1"/>
  <c r="F20" i="157"/>
  <c r="F21" i="157"/>
  <c r="F23" i="157"/>
  <c r="I23" i="157" s="1"/>
  <c r="D38" i="157"/>
  <c r="C38" i="157"/>
  <c r="F15" i="157"/>
  <c r="D39" i="157"/>
  <c r="C39" i="157"/>
  <c r="F24" i="157"/>
  <c r="I24" i="157" s="1"/>
  <c r="C40" i="157"/>
  <c r="F16" i="157"/>
  <c r="F6" i="157"/>
  <c r="F12" i="157"/>
  <c r="B39" i="157"/>
  <c r="F11" i="157"/>
  <c r="B38" i="157"/>
  <c r="F8" i="157"/>
  <c r="F13" i="157"/>
  <c r="F9" i="157"/>
  <c r="F10" i="157"/>
  <c r="F14" i="157"/>
  <c r="AJ18" i="50" l="1"/>
  <c r="AL18" i="50" s="1"/>
  <c r="AJ20" i="50"/>
  <c r="AL20" i="50" s="1"/>
  <c r="S7" i="50"/>
  <c r="F39" i="157"/>
  <c r="V34" i="143" s="1"/>
  <c r="Z34" i="143" s="1"/>
  <c r="F40" i="157"/>
  <c r="V35" i="143" s="1"/>
  <c r="Z35" i="143" s="1"/>
  <c r="C47" i="157"/>
  <c r="B47" i="157"/>
  <c r="V48" i="143"/>
  <c r="H47" i="157"/>
  <c r="D47" i="157"/>
  <c r="E47" i="157"/>
  <c r="T14" i="50"/>
  <c r="AI14" i="50" s="1"/>
  <c r="T13" i="50"/>
  <c r="AI13" i="50" s="1"/>
  <c r="V14" i="159"/>
  <c r="I41" i="157"/>
  <c r="V53" i="143" s="1"/>
  <c r="T19" i="50"/>
  <c r="T15" i="50"/>
  <c r="AI15" i="50" s="1"/>
  <c r="T32" i="50"/>
  <c r="AI32" i="50" s="1"/>
  <c r="T35" i="50"/>
  <c r="AI35" i="50" s="1"/>
  <c r="V34" i="159"/>
  <c r="T17" i="50"/>
  <c r="T31" i="50"/>
  <c r="AI31" i="50" s="1"/>
  <c r="V30" i="159"/>
  <c r="V7" i="159"/>
  <c r="I19" i="157"/>
  <c r="T8" i="50"/>
  <c r="AI8" i="50" s="1"/>
  <c r="V19" i="159"/>
  <c r="V16" i="159"/>
  <c r="V20" i="159"/>
  <c r="V22" i="159"/>
  <c r="V8" i="159"/>
  <c r="G38" i="157"/>
  <c r="V12" i="159"/>
  <c r="V29" i="159"/>
  <c r="T34" i="50"/>
  <c r="AI34" i="50" s="1"/>
  <c r="V23" i="159"/>
  <c r="T9" i="50"/>
  <c r="AI9" i="50" s="1"/>
  <c r="T10" i="50"/>
  <c r="AI10" i="50" s="1"/>
  <c r="G41" i="157"/>
  <c r="V41" i="143" s="1"/>
  <c r="Z41" i="143" s="1"/>
  <c r="I20" i="157"/>
  <c r="T28" i="50"/>
  <c r="G39" i="157"/>
  <c r="V39" i="143" s="1"/>
  <c r="V21" i="159"/>
  <c r="T12" i="50"/>
  <c r="AI12" i="50" s="1"/>
  <c r="V10" i="159"/>
  <c r="I17" i="157"/>
  <c r="V18" i="159"/>
  <c r="I22" i="157"/>
  <c r="I15" i="157"/>
  <c r="I21" i="157"/>
  <c r="V26" i="159"/>
  <c r="G40" i="157"/>
  <c r="V40" i="143" s="1"/>
  <c r="V27" i="159"/>
  <c r="T30" i="50"/>
  <c r="I16" i="157"/>
  <c r="T7" i="50"/>
  <c r="V17" i="159"/>
  <c r="I18" i="157"/>
  <c r="S24" i="50"/>
  <c r="AH24" i="50" s="1"/>
  <c r="AA20" i="50"/>
  <c r="S21" i="50"/>
  <c r="AH21" i="50" s="1"/>
  <c r="Z40" i="159"/>
  <c r="U39" i="50"/>
  <c r="S32" i="50"/>
  <c r="AH32" i="50" s="1"/>
  <c r="Z42" i="159"/>
  <c r="S29" i="50"/>
  <c r="AH29" i="50" s="1"/>
  <c r="S34" i="50"/>
  <c r="AH34" i="50" s="1"/>
  <c r="S22" i="50"/>
  <c r="AH22" i="50" s="1"/>
  <c r="Z39" i="159"/>
  <c r="I26" i="157"/>
  <c r="S27" i="50"/>
  <c r="AH27" i="50" s="1"/>
  <c r="Z41" i="159"/>
  <c r="S31" i="50"/>
  <c r="AH31" i="50" s="1"/>
  <c r="AD35" i="159"/>
  <c r="V42" i="159"/>
  <c r="AA18" i="50"/>
  <c r="S30" i="50"/>
  <c r="AH30" i="50" s="1"/>
  <c r="S26" i="50"/>
  <c r="AH26" i="50" s="1"/>
  <c r="I25" i="157"/>
  <c r="S33" i="50"/>
  <c r="AH33" i="50" s="1"/>
  <c r="S25" i="50"/>
  <c r="AH25" i="50" s="1"/>
  <c r="S17" i="50"/>
  <c r="AH17" i="50" s="1"/>
  <c r="S16" i="50"/>
  <c r="AH16" i="50" s="1"/>
  <c r="I6" i="157"/>
  <c r="I9" i="157"/>
  <c r="S10" i="50"/>
  <c r="F38" i="157"/>
  <c r="S8" i="50"/>
  <c r="AH8" i="50" s="1"/>
  <c r="I14" i="157"/>
  <c r="S15" i="50"/>
  <c r="AH15" i="50" s="1"/>
  <c r="S12" i="50"/>
  <c r="AH12" i="50" s="1"/>
  <c r="I11" i="157"/>
  <c r="S13" i="50"/>
  <c r="AH13" i="50" s="1"/>
  <c r="I12" i="157"/>
  <c r="I10" i="157"/>
  <c r="S11" i="50"/>
  <c r="AA11" i="50" s="1"/>
  <c r="I13" i="157"/>
  <c r="S14" i="50"/>
  <c r="AH14" i="50" s="1"/>
  <c r="I8" i="157"/>
  <c r="S9" i="50"/>
  <c r="AJ32" i="50" l="1"/>
  <c r="AL32" i="50" s="1"/>
  <c r="AJ12" i="50"/>
  <c r="AL12" i="50" s="1"/>
  <c r="AJ34" i="50"/>
  <c r="AL34" i="50" s="1"/>
  <c r="AA24" i="50"/>
  <c r="AJ35" i="50"/>
  <c r="AL35" i="50" s="1"/>
  <c r="AJ14" i="50"/>
  <c r="AL14" i="50" s="1"/>
  <c r="AJ15" i="50"/>
  <c r="AL15" i="50" s="1"/>
  <c r="AA26" i="50"/>
  <c r="AJ8" i="50"/>
  <c r="AL8" i="50" s="1"/>
  <c r="AA22" i="50"/>
  <c r="AA19" i="50"/>
  <c r="AI19" i="50"/>
  <c r="AA16" i="50"/>
  <c r="AJ13" i="50"/>
  <c r="AL13" i="50" s="1"/>
  <c r="AJ25" i="50"/>
  <c r="AL25" i="50" s="1"/>
  <c r="AJ31" i="50"/>
  <c r="AL31" i="50" s="1"/>
  <c r="AA21" i="50"/>
  <c r="V37" i="143"/>
  <c r="Z37" i="143" s="1"/>
  <c r="F47" i="157"/>
  <c r="V42" i="143"/>
  <c r="G47" i="157"/>
  <c r="AA31" i="50"/>
  <c r="AA14" i="50"/>
  <c r="AA15" i="50"/>
  <c r="AA13" i="50"/>
  <c r="AA12" i="50"/>
  <c r="AA10" i="50"/>
  <c r="AA32" i="50"/>
  <c r="AA8" i="50"/>
  <c r="AA9" i="50"/>
  <c r="V39" i="159"/>
  <c r="T39" i="50"/>
  <c r="T22" i="245" s="1"/>
  <c r="V40" i="159"/>
  <c r="F8" i="191" s="1"/>
  <c r="F18" i="191" s="1"/>
  <c r="V41" i="159"/>
  <c r="I40" i="157"/>
  <c r="V52" i="143" s="1"/>
  <c r="AD42" i="159"/>
  <c r="I39" i="157"/>
  <c r="V51" i="143" s="1"/>
  <c r="I38" i="157"/>
  <c r="S39" i="50"/>
  <c r="S22" i="245" s="1"/>
  <c r="AJ19" i="50" l="1"/>
  <c r="AL19" i="50" s="1"/>
  <c r="AJ16" i="50"/>
  <c r="AL16" i="50" s="1"/>
  <c r="AJ22" i="50"/>
  <c r="AL22" i="50" s="1"/>
  <c r="AJ21" i="50"/>
  <c r="AL21" i="50" s="1"/>
  <c r="AJ26" i="50"/>
  <c r="AL26" i="50" s="1"/>
  <c r="AJ24" i="50"/>
  <c r="AL24" i="50" s="1"/>
  <c r="V85" i="143"/>
  <c r="F24" i="191"/>
  <c r="I47" i="157"/>
  <c r="F8" i="192"/>
  <c r="F18" i="192" s="1"/>
  <c r="G8" i="191"/>
  <c r="G18" i="191" s="1"/>
  <c r="I8" i="191"/>
  <c r="I18" i="191" s="1"/>
  <c r="V54" i="143"/>
  <c r="I24" i="191" l="1"/>
  <c r="G24" i="191"/>
  <c r="F24" i="192"/>
  <c r="G8" i="192"/>
  <c r="G18" i="192" s="1"/>
  <c r="H8" i="222"/>
  <c r="H18" i="222" s="1"/>
  <c r="I8" i="192"/>
  <c r="I18" i="192" s="1"/>
  <c r="I24" i="192" l="1"/>
  <c r="G24" i="192"/>
  <c r="H24" i="222"/>
  <c r="Z16" i="143" l="1"/>
  <c r="Z17" i="143"/>
  <c r="Z18" i="143"/>
  <c r="M42" i="232" l="1"/>
  <c r="M48" i="232" s="1"/>
  <c r="Z45" i="8"/>
  <c r="X44" i="8"/>
  <c r="W44" i="8"/>
  <c r="W42" i="8"/>
  <c r="AH16" i="8"/>
  <c r="AJ16" i="8" s="1"/>
  <c r="AH13" i="8"/>
  <c r="Q9" i="50"/>
  <c r="R9" i="50" s="1"/>
  <c r="AH9" i="50" s="1"/>
  <c r="AH15" i="8"/>
  <c r="Z20" i="143"/>
  <c r="AJ9" i="50" l="1"/>
  <c r="AL9" i="50" s="1"/>
  <c r="M44" i="232"/>
  <c r="M50" i="232" s="1"/>
  <c r="I42" i="232"/>
  <c r="I48" i="232" s="1"/>
  <c r="M43" i="232"/>
  <c r="M49" i="232" s="1"/>
  <c r="I40" i="232"/>
  <c r="I46" i="232" s="1"/>
  <c r="Q40" i="232"/>
  <c r="Q46" i="232" s="1"/>
  <c r="M40" i="232"/>
  <c r="M46" i="232" s="1"/>
  <c r="I43" i="232"/>
  <c r="I49" i="232" s="1"/>
  <c r="E40" i="232"/>
  <c r="E46" i="232" s="1"/>
  <c r="Q43" i="232"/>
  <c r="Q49" i="232" s="1"/>
  <c r="E43" i="232"/>
  <c r="E49" i="232" s="1"/>
  <c r="Q44" i="232"/>
  <c r="Q50" i="232" s="1"/>
  <c r="Q42" i="232"/>
  <c r="Q48" i="232" s="1"/>
  <c r="E42" i="232"/>
  <c r="E48" i="232" s="1"/>
  <c r="AE45" i="8"/>
  <c r="X45" i="8"/>
  <c r="W45" i="8"/>
  <c r="AF44" i="8"/>
  <c r="Y44" i="8"/>
  <c r="AF45" i="8"/>
  <c r="Y45" i="8"/>
  <c r="AG44" i="8"/>
  <c r="Z44" i="8"/>
  <c r="AD44" i="8"/>
  <c r="Y42" i="8"/>
  <c r="AF42" i="8"/>
  <c r="Z42" i="8"/>
  <c r="AG42" i="8"/>
  <c r="W43" i="8"/>
  <c r="AG45" i="8"/>
  <c r="AD43" i="8"/>
  <c r="X42" i="8"/>
  <c r="AE42" i="8"/>
  <c r="AA45" i="8"/>
  <c r="Y43" i="8"/>
  <c r="W41" i="8"/>
  <c r="AD42" i="8"/>
  <c r="AA44" i="8"/>
  <c r="AJ13" i="8"/>
  <c r="X41" i="8"/>
  <c r="X43" i="8"/>
  <c r="AH10" i="8"/>
  <c r="AJ10" i="8" s="1"/>
  <c r="Z43" i="8"/>
  <c r="Y41" i="8"/>
  <c r="AJ15" i="8"/>
  <c r="Z41" i="8"/>
  <c r="Q11" i="50" l="1"/>
  <c r="R11" i="50" s="1"/>
  <c r="AH11" i="50" s="1"/>
  <c r="Q10" i="50"/>
  <c r="R10" i="50" s="1"/>
  <c r="AH10" i="50" s="1"/>
  <c r="AA42" i="8"/>
  <c r="Y10" i="143" s="1"/>
  <c r="Y23" i="143" s="1"/>
  <c r="Q7" i="50"/>
  <c r="R7" i="50" s="1"/>
  <c r="AH7" i="50" s="1"/>
  <c r="AC41" i="232"/>
  <c r="AC47" i="232" s="1"/>
  <c r="U40" i="232"/>
  <c r="U46" i="232" s="1"/>
  <c r="U41" i="232"/>
  <c r="U47" i="232" s="1"/>
  <c r="U42" i="232"/>
  <c r="U48" i="232" s="1"/>
  <c r="U43" i="232"/>
  <c r="U49" i="232" s="1"/>
  <c r="U44" i="232"/>
  <c r="U50" i="232" s="1"/>
  <c r="AG43" i="8"/>
  <c r="AH17" i="8"/>
  <c r="AD45" i="8"/>
  <c r="Y13" i="143"/>
  <c r="Z13" i="143" s="1"/>
  <c r="AH12" i="8"/>
  <c r="AJ12" i="8" s="1"/>
  <c r="Z51" i="8"/>
  <c r="AF43" i="8"/>
  <c r="AH11" i="8"/>
  <c r="AJ11" i="8" s="1"/>
  <c r="AH8" i="8"/>
  <c r="AH42" i="8" s="1"/>
  <c r="AD41" i="8"/>
  <c r="AF41" i="8"/>
  <c r="Y51" i="8"/>
  <c r="AA43" i="8"/>
  <c r="Y11" i="143" s="1"/>
  <c r="X51" i="8"/>
  <c r="Y12" i="143"/>
  <c r="AE44" i="8"/>
  <c r="AH14" i="8"/>
  <c r="W51" i="8"/>
  <c r="Z19" i="143"/>
  <c r="AA41" i="8"/>
  <c r="Y14" i="143" s="1"/>
  <c r="Z14" i="143" s="1"/>
  <c r="AC42" i="8"/>
  <c r="AG41" i="8"/>
  <c r="AI51" i="8"/>
  <c r="AE43" i="8"/>
  <c r="AE41" i="8"/>
  <c r="AH39" i="50" l="1"/>
  <c r="AJ10" i="50"/>
  <c r="AL10" i="50" s="1"/>
  <c r="AJ11" i="50"/>
  <c r="AL11" i="50" s="1"/>
  <c r="B8" i="224"/>
  <c r="B9" i="224"/>
  <c r="B10" i="224"/>
  <c r="V84" i="143"/>
  <c r="AC43" i="8"/>
  <c r="AC40" i="232"/>
  <c r="AC46" i="232" s="1"/>
  <c r="AC44" i="232"/>
  <c r="AC50" i="232" s="1"/>
  <c r="AC43" i="232"/>
  <c r="AC49" i="232" s="1"/>
  <c r="AC42" i="232"/>
  <c r="AC48" i="232" s="1"/>
  <c r="Y25" i="143"/>
  <c r="Z12" i="143"/>
  <c r="Y26" i="143"/>
  <c r="Z26" i="143"/>
  <c r="Y24" i="143"/>
  <c r="Z11" i="143"/>
  <c r="AH43" i="8"/>
  <c r="AJ43" i="8"/>
  <c r="AJ17" i="8"/>
  <c r="AJ45" i="8" s="1"/>
  <c r="AH45" i="8"/>
  <c r="AC45" i="8"/>
  <c r="AF51" i="8"/>
  <c r="AC41" i="8"/>
  <c r="AE51" i="8"/>
  <c r="AA51" i="8"/>
  <c r="AD51" i="8"/>
  <c r="AJ14" i="8"/>
  <c r="AJ44" i="8" s="1"/>
  <c r="AH44" i="8"/>
  <c r="AC44" i="8"/>
  <c r="AG51" i="8"/>
  <c r="Z10" i="143"/>
  <c r="AJ8" i="8"/>
  <c r="AJ42" i="8" s="1"/>
  <c r="AH41" i="8"/>
  <c r="L8" i="224" l="1"/>
  <c r="L10" i="224"/>
  <c r="L9" i="224"/>
  <c r="O10" i="224"/>
  <c r="O9" i="224"/>
  <c r="O8" i="224"/>
  <c r="M8" i="224"/>
  <c r="M9" i="224"/>
  <c r="M10" i="224"/>
  <c r="C10" i="224"/>
  <c r="C9" i="224"/>
  <c r="C8" i="224"/>
  <c r="E8" i="224"/>
  <c r="E10" i="224"/>
  <c r="E9" i="224"/>
  <c r="V86" i="143"/>
  <c r="V93" i="143"/>
  <c r="Z24" i="143"/>
  <c r="Z25" i="143"/>
  <c r="Z23" i="143"/>
  <c r="Y27" i="143"/>
  <c r="AC51" i="8"/>
  <c r="AJ41" i="8"/>
  <c r="Q39" i="50"/>
  <c r="AH51" i="8"/>
  <c r="Z27" i="143" l="1"/>
  <c r="R39" i="50"/>
  <c r="AJ51" i="8"/>
  <c r="B37" i="143" l="1"/>
  <c r="B51" i="143"/>
  <c r="B54" i="143" s="1"/>
  <c r="E51" i="143" l="1"/>
  <c r="E54" i="143" s="1"/>
  <c r="E37" i="143"/>
  <c r="X23" i="50" l="1"/>
  <c r="X29" i="50"/>
  <c r="X17" i="50"/>
  <c r="B40" i="19"/>
  <c r="G8" i="221" s="1"/>
  <c r="G18" i="221" s="1"/>
  <c r="X30" i="50"/>
  <c r="X27" i="50"/>
  <c r="X33" i="50"/>
  <c r="AA17" i="50" l="1"/>
  <c r="AI17" i="50"/>
  <c r="AA27" i="50"/>
  <c r="AI27" i="50"/>
  <c r="AA29" i="50"/>
  <c r="AI29" i="50"/>
  <c r="AA33" i="50"/>
  <c r="AI33" i="50"/>
  <c r="AA30" i="50"/>
  <c r="AI30" i="50"/>
  <c r="AA23" i="50"/>
  <c r="AI23" i="50"/>
  <c r="Y34" i="50"/>
  <c r="AA34" i="50" s="1"/>
  <c r="Y7" i="50"/>
  <c r="Y36" i="50"/>
  <c r="AA36" i="50" s="1"/>
  <c r="Y35" i="50"/>
  <c r="AA35" i="50" s="1"/>
  <c r="X40" i="143"/>
  <c r="Z40" i="143" s="1"/>
  <c r="X28" i="50"/>
  <c r="Y25" i="50"/>
  <c r="AA25" i="50" s="1"/>
  <c r="Y37" i="50"/>
  <c r="AA37" i="50" s="1"/>
  <c r="AJ23" i="50" l="1"/>
  <c r="AL23" i="50" s="1"/>
  <c r="AJ27" i="50"/>
  <c r="AL27" i="50" s="1"/>
  <c r="AJ30" i="50"/>
  <c r="AL30" i="50" s="1"/>
  <c r="AJ29" i="50"/>
  <c r="AL29" i="50" s="1"/>
  <c r="AJ17" i="50"/>
  <c r="AL17" i="50" s="1"/>
  <c r="AJ33" i="50"/>
  <c r="AL33" i="50" s="1"/>
  <c r="AA28" i="50"/>
  <c r="AI28" i="50"/>
  <c r="D40" i="19"/>
  <c r="X52" i="143" s="1"/>
  <c r="Z52" i="143" s="1"/>
  <c r="X47" i="143"/>
  <c r="X45" i="143"/>
  <c r="Z45" i="143" s="1"/>
  <c r="C47" i="19"/>
  <c r="X7" i="50"/>
  <c r="AI7" i="50" s="1"/>
  <c r="B39" i="19"/>
  <c r="F8" i="221" s="1"/>
  <c r="F18" i="221" s="1"/>
  <c r="B38" i="19"/>
  <c r="I8" i="221" s="1"/>
  <c r="G24" i="221"/>
  <c r="G8" i="222"/>
  <c r="G18" i="222" s="1"/>
  <c r="Y39" i="50"/>
  <c r="D41" i="19"/>
  <c r="X48" i="143"/>
  <c r="Z48" i="143" s="1"/>
  <c r="X46" i="143"/>
  <c r="Z46" i="143" s="1"/>
  <c r="AJ28" i="50" l="1"/>
  <c r="AL28" i="50" s="1"/>
  <c r="AI39" i="50"/>
  <c r="AJ7" i="50"/>
  <c r="I18" i="221"/>
  <c r="F8" i="242"/>
  <c r="Z47" i="143"/>
  <c r="X53" i="143"/>
  <c r="Z53" i="143" s="1"/>
  <c r="B47" i="19"/>
  <c r="Z39" i="143"/>
  <c r="X39" i="50"/>
  <c r="AA7" i="50"/>
  <c r="G24" i="222"/>
  <c r="D38" i="19"/>
  <c r="D39" i="19"/>
  <c r="X42" i="143"/>
  <c r="Z42" i="143" s="1"/>
  <c r="V89" i="143" s="1"/>
  <c r="AL7" i="50" l="1"/>
  <c r="AJ39" i="50"/>
  <c r="F8" i="243"/>
  <c r="F18" i="243" s="1"/>
  <c r="F24" i="243" s="1"/>
  <c r="F18" i="242"/>
  <c r="V90" i="143"/>
  <c r="G8" i="242" s="1"/>
  <c r="V94" i="143"/>
  <c r="V95" i="143" s="1"/>
  <c r="V100" i="143" s="1"/>
  <c r="X54" i="143"/>
  <c r="Z54" i="143" s="1"/>
  <c r="F8" i="222"/>
  <c r="F18" i="222" s="1"/>
  <c r="F24" i="221"/>
  <c r="P8" i="222"/>
  <c r="P18" i="222" s="1"/>
  <c r="AA39" i="50"/>
  <c r="AL39" i="50"/>
  <c r="I8" i="222"/>
  <c r="I18" i="222" s="1"/>
  <c r="I24" i="221"/>
  <c r="X51" i="143"/>
  <c r="Z51" i="143" s="1"/>
  <c r="D47" i="19"/>
  <c r="G18" i="242" l="1"/>
  <c r="G24" i="242" s="1"/>
  <c r="G8" i="243"/>
  <c r="G18" i="243" s="1"/>
  <c r="G24" i="243" s="1"/>
  <c r="F24" i="242"/>
  <c r="P24" i="222"/>
  <c r="I24" i="222"/>
  <c r="F24" i="222"/>
  <c r="O34" i="160" l="1"/>
  <c r="S34" i="160" s="1"/>
  <c r="O35" i="162"/>
  <c r="S35" i="162" s="1"/>
  <c r="O34" i="156"/>
  <c r="S34" i="156" s="1"/>
  <c r="O34" i="159"/>
  <c r="S34" i="159" s="1"/>
  <c r="D28" i="159"/>
  <c r="D28" i="160"/>
  <c r="L28" i="160"/>
  <c r="H28" i="160"/>
  <c r="H29" i="162"/>
  <c r="L29" i="162"/>
  <c r="L28" i="156"/>
  <c r="D29" i="162"/>
  <c r="H28" i="156"/>
  <c r="L28" i="159"/>
  <c r="H28" i="159"/>
  <c r="H27" i="160"/>
  <c r="L28" i="162"/>
  <c r="L27" i="159"/>
  <c r="D27" i="160"/>
  <c r="D28" i="162"/>
  <c r="D27" i="159"/>
  <c r="H28" i="162"/>
  <c r="L27" i="156"/>
  <c r="L27" i="160"/>
  <c r="H27" i="156"/>
  <c r="H27" i="159"/>
  <c r="D27" i="162"/>
  <c r="L26" i="156"/>
  <c r="H27" i="162"/>
  <c r="L26" i="159"/>
  <c r="L26" i="160"/>
  <c r="H26" i="160"/>
  <c r="D26" i="159"/>
  <c r="D26" i="160"/>
  <c r="H26" i="156"/>
  <c r="L27" i="162"/>
  <c r="H26" i="159"/>
  <c r="N35" i="162"/>
  <c r="N34" i="156"/>
  <c r="R34" i="156" s="1"/>
  <c r="N34" i="160"/>
  <c r="N34" i="159"/>
  <c r="R34" i="159" l="1"/>
  <c r="R34" i="160"/>
  <c r="R35" i="162"/>
  <c r="Z34" i="156" l="1"/>
  <c r="AD34" i="159"/>
  <c r="B16" i="162" l="1"/>
  <c r="B15" i="160"/>
  <c r="B15" i="159"/>
  <c r="D15" i="165" l="1"/>
  <c r="L28" i="165" l="1"/>
  <c r="H28" i="165"/>
  <c r="D28" i="165"/>
  <c r="D25" i="165"/>
  <c r="L25" i="165"/>
  <c r="H25" i="165"/>
  <c r="L27" i="165"/>
  <c r="H27" i="165"/>
  <c r="D27" i="165"/>
  <c r="L26" i="165"/>
  <c r="D26" i="165"/>
  <c r="H26" i="165"/>
  <c r="B26" i="159" l="1"/>
  <c r="J27" i="162"/>
  <c r="J26" i="160"/>
  <c r="B26" i="160"/>
  <c r="B27" i="162"/>
  <c r="F26" i="160"/>
  <c r="F27" i="162"/>
  <c r="J26" i="156"/>
  <c r="F26" i="156"/>
  <c r="J26" i="159"/>
  <c r="F26" i="159"/>
  <c r="B28" i="160" l="1"/>
  <c r="B28" i="159"/>
  <c r="B29" i="162"/>
  <c r="J29" i="162"/>
  <c r="F28" i="160"/>
  <c r="F28" i="156"/>
  <c r="J28" i="156"/>
  <c r="J28" i="160"/>
  <c r="F29" i="162"/>
  <c r="J28" i="159"/>
  <c r="F28" i="159"/>
  <c r="B28" i="162"/>
  <c r="F27" i="160"/>
  <c r="J28" i="162"/>
  <c r="J27" i="159"/>
  <c r="F27" i="156"/>
  <c r="B27" i="159"/>
  <c r="J27" i="160"/>
  <c r="B27" i="160"/>
  <c r="J27" i="156"/>
  <c r="F28" i="162"/>
  <c r="F27" i="159"/>
  <c r="J25" i="156"/>
  <c r="B25" i="159"/>
  <c r="F25" i="160"/>
  <c r="J25" i="159"/>
  <c r="F25" i="156"/>
  <c r="F26" i="162"/>
  <c r="J26" i="162"/>
  <c r="B25" i="160"/>
  <c r="B26" i="162"/>
  <c r="J25" i="160"/>
  <c r="F25" i="159"/>
  <c r="X26" i="165" l="1"/>
  <c r="X10" i="165"/>
  <c r="X29" i="165"/>
  <c r="X25" i="165"/>
  <c r="X21" i="165"/>
  <c r="X17" i="165"/>
  <c r="X13" i="165"/>
  <c r="X9" i="165"/>
  <c r="X7" i="165"/>
  <c r="X18" i="165"/>
  <c r="X28" i="165"/>
  <c r="X24" i="165"/>
  <c r="X20" i="165"/>
  <c r="X16" i="165"/>
  <c r="X12" i="165"/>
  <c r="X8" i="165"/>
  <c r="X22" i="165"/>
  <c r="X14" i="165"/>
  <c r="X27" i="165"/>
  <c r="X23" i="165"/>
  <c r="X19" i="165"/>
  <c r="X15" i="165"/>
  <c r="X11" i="165"/>
  <c r="X39" i="165" l="1"/>
  <c r="O33" i="162" l="1"/>
  <c r="S33" i="162" s="1"/>
  <c r="O32" i="160"/>
  <c r="S32" i="160" s="1"/>
  <c r="O32" i="156"/>
  <c r="S32" i="156" s="1"/>
  <c r="O32" i="159"/>
  <c r="S32" i="159" s="1"/>
  <c r="O33" i="156"/>
  <c r="S33" i="156" s="1"/>
  <c r="O34" i="162"/>
  <c r="S34" i="162" s="1"/>
  <c r="O33" i="160"/>
  <c r="S33" i="160" s="1"/>
  <c r="O33" i="159"/>
  <c r="S33" i="159" s="1"/>
  <c r="N34" i="162"/>
  <c r="N33" i="160"/>
  <c r="N33" i="156"/>
  <c r="R33" i="156" s="1"/>
  <c r="N33" i="159"/>
  <c r="N33" i="162"/>
  <c r="N32" i="156"/>
  <c r="R32" i="156" s="1"/>
  <c r="N32" i="160"/>
  <c r="N32" i="159"/>
  <c r="N31" i="156"/>
  <c r="R31" i="156" s="1"/>
  <c r="N32" i="162"/>
  <c r="N31" i="160"/>
  <c r="N31" i="159"/>
  <c r="D9" i="165" l="1"/>
  <c r="D12" i="162"/>
  <c r="D11" i="160"/>
  <c r="D11" i="159"/>
  <c r="X29" i="156"/>
  <c r="X29" i="159"/>
  <c r="D28" i="41"/>
  <c r="D20" i="41"/>
  <c r="X21" i="156"/>
  <c r="X21" i="159"/>
  <c r="D8" i="41"/>
  <c r="X9" i="156"/>
  <c r="X9" i="159"/>
  <c r="D8" i="165"/>
  <c r="D15" i="162"/>
  <c r="D14" i="160"/>
  <c r="D14" i="159"/>
  <c r="D10" i="160"/>
  <c r="D11" i="162"/>
  <c r="D10" i="159"/>
  <c r="X7" i="156"/>
  <c r="X7" i="159"/>
  <c r="D6" i="41"/>
  <c r="P34" i="156"/>
  <c r="T34" i="156" s="1"/>
  <c r="P35" i="162"/>
  <c r="P34" i="160"/>
  <c r="P34" i="159"/>
  <c r="P31" i="162"/>
  <c r="T31" i="162" s="1"/>
  <c r="P30" i="156"/>
  <c r="T30" i="156" s="1"/>
  <c r="P30" i="160"/>
  <c r="T30" i="160" s="1"/>
  <c r="P30" i="159"/>
  <c r="T30" i="159" s="1"/>
  <c r="P27" i="162"/>
  <c r="T27" i="162" s="1"/>
  <c r="P26" i="156"/>
  <c r="T26" i="156" s="1"/>
  <c r="P26" i="160"/>
  <c r="T26" i="160" s="1"/>
  <c r="P26" i="159"/>
  <c r="T26" i="159" s="1"/>
  <c r="X36" i="159"/>
  <c r="X36" i="156"/>
  <c r="D35" i="41"/>
  <c r="D31" i="41"/>
  <c r="X32" i="156"/>
  <c r="X32" i="159"/>
  <c r="X28" i="156"/>
  <c r="X28" i="159"/>
  <c r="D27" i="41"/>
  <c r="X24" i="156"/>
  <c r="D23" i="41"/>
  <c r="X24" i="159"/>
  <c r="D19" i="41"/>
  <c r="X20" i="156"/>
  <c r="X20" i="159"/>
  <c r="X16" i="156"/>
  <c r="D15" i="41"/>
  <c r="X16" i="159"/>
  <c r="X12" i="156"/>
  <c r="D11" i="41"/>
  <c r="X12" i="159"/>
  <c r="X8" i="156"/>
  <c r="D7" i="41"/>
  <c r="X8" i="159"/>
  <c r="D13" i="165"/>
  <c r="P27" i="160"/>
  <c r="T27" i="160" s="1"/>
  <c r="P28" i="162"/>
  <c r="T28" i="162" s="1"/>
  <c r="P27" i="156"/>
  <c r="T27" i="156" s="1"/>
  <c r="P27" i="159"/>
  <c r="T27" i="159" s="1"/>
  <c r="X33" i="156"/>
  <c r="X33" i="159"/>
  <c r="D32" i="41"/>
  <c r="X17" i="156"/>
  <c r="X17" i="159"/>
  <c r="D16" i="41"/>
  <c r="D12" i="165"/>
  <c r="D11" i="165"/>
  <c r="D14" i="162"/>
  <c r="D13" i="160"/>
  <c r="D13" i="159"/>
  <c r="D9" i="160"/>
  <c r="D10" i="162"/>
  <c r="D9" i="159"/>
  <c r="P34" i="162"/>
  <c r="T34" i="162" s="1"/>
  <c r="P33" i="156"/>
  <c r="T33" i="156" s="1"/>
  <c r="P33" i="160"/>
  <c r="T33" i="160" s="1"/>
  <c r="P33" i="159"/>
  <c r="T33" i="159" s="1"/>
  <c r="P30" i="162"/>
  <c r="T30" i="162" s="1"/>
  <c r="P29" i="156"/>
  <c r="T29" i="156" s="1"/>
  <c r="P29" i="160"/>
  <c r="T29" i="160" s="1"/>
  <c r="P29" i="159"/>
  <c r="T29" i="159" s="1"/>
  <c r="X35" i="156"/>
  <c r="D34" i="41"/>
  <c r="X35" i="159"/>
  <c r="X31" i="156"/>
  <c r="D30" i="41"/>
  <c r="X31" i="159"/>
  <c r="X27" i="156"/>
  <c r="X27" i="159"/>
  <c r="D26" i="41"/>
  <c r="X23" i="156"/>
  <c r="X23" i="159"/>
  <c r="D22" i="41"/>
  <c r="D18" i="41"/>
  <c r="X19" i="156"/>
  <c r="X19" i="159"/>
  <c r="D14" i="41"/>
  <c r="X15" i="156"/>
  <c r="X15" i="159"/>
  <c r="D10" i="41"/>
  <c r="X11" i="156"/>
  <c r="X11" i="159"/>
  <c r="D7" i="160"/>
  <c r="D7" i="162"/>
  <c r="D7" i="159"/>
  <c r="D16" i="162"/>
  <c r="D15" i="160"/>
  <c r="D15" i="159"/>
  <c r="P32" i="162"/>
  <c r="T32" i="162" s="1"/>
  <c r="P31" i="160"/>
  <c r="T31" i="160" s="1"/>
  <c r="P31" i="156"/>
  <c r="T31" i="156" s="1"/>
  <c r="P31" i="159"/>
  <c r="T31" i="159" s="1"/>
  <c r="X37" i="156"/>
  <c r="X37" i="159"/>
  <c r="D36" i="41"/>
  <c r="X25" i="156"/>
  <c r="D24" i="41"/>
  <c r="X25" i="159"/>
  <c r="X13" i="156"/>
  <c r="D12" i="41"/>
  <c r="X13" i="159"/>
  <c r="D7" i="165"/>
  <c r="D14" i="165"/>
  <c r="D10" i="165"/>
  <c r="D13" i="162"/>
  <c r="D12" i="160"/>
  <c r="D12" i="159"/>
  <c r="D8" i="162"/>
  <c r="D8" i="160"/>
  <c r="D9" i="162"/>
  <c r="D8" i="159"/>
  <c r="P33" i="162"/>
  <c r="T33" i="162" s="1"/>
  <c r="P32" i="156"/>
  <c r="T32" i="156" s="1"/>
  <c r="P32" i="160"/>
  <c r="T32" i="160" s="1"/>
  <c r="P32" i="159"/>
  <c r="T32" i="159" s="1"/>
  <c r="P29" i="162"/>
  <c r="T29" i="162" s="1"/>
  <c r="P28" i="160"/>
  <c r="T28" i="160" s="1"/>
  <c r="P28" i="156"/>
  <c r="T28" i="156" s="1"/>
  <c r="P28" i="159"/>
  <c r="T28" i="159" s="1"/>
  <c r="X34" i="156"/>
  <c r="D33" i="41"/>
  <c r="X34" i="159"/>
  <c r="X30" i="156"/>
  <c r="X30" i="159"/>
  <c r="D29" i="41"/>
  <c r="X26" i="156"/>
  <c r="D25" i="41"/>
  <c r="X26" i="159"/>
  <c r="D21" i="41"/>
  <c r="X22" i="156"/>
  <c r="X22" i="159"/>
  <c r="X18" i="156"/>
  <c r="D17" i="41"/>
  <c r="X18" i="159"/>
  <c r="X14" i="156"/>
  <c r="D13" i="41"/>
  <c r="X14" i="159"/>
  <c r="D9" i="41"/>
  <c r="X10" i="156"/>
  <c r="X10" i="159"/>
  <c r="R32" i="160"/>
  <c r="R31" i="159"/>
  <c r="R32" i="159"/>
  <c r="R33" i="162"/>
  <c r="R33" i="159"/>
  <c r="R33" i="160"/>
  <c r="R32" i="162"/>
  <c r="R31" i="160"/>
  <c r="R34" i="162"/>
  <c r="AB28" i="156" l="1"/>
  <c r="U33" i="162"/>
  <c r="Q32" i="156"/>
  <c r="Q33" i="156"/>
  <c r="Q33" i="159"/>
  <c r="Q33" i="160"/>
  <c r="Q33" i="162"/>
  <c r="Q32" i="160"/>
  <c r="U33" i="160"/>
  <c r="Q32" i="159"/>
  <c r="U32" i="160"/>
  <c r="P12" i="156"/>
  <c r="P13" i="162"/>
  <c r="P12" i="160"/>
  <c r="P12" i="159"/>
  <c r="L15" i="165"/>
  <c r="H13" i="165"/>
  <c r="H18" i="41"/>
  <c r="AB19" i="159"/>
  <c r="H26" i="41"/>
  <c r="AB27" i="159"/>
  <c r="AF27" i="159" s="1"/>
  <c r="H7" i="165"/>
  <c r="H7" i="156"/>
  <c r="H7" i="160"/>
  <c r="H7" i="162"/>
  <c r="H7" i="159"/>
  <c r="X39" i="156"/>
  <c r="X40" i="156"/>
  <c r="L10" i="160"/>
  <c r="L10" i="156"/>
  <c r="L11" i="162"/>
  <c r="L10" i="159"/>
  <c r="P17" i="165"/>
  <c r="P12" i="165"/>
  <c r="H28" i="41"/>
  <c r="AB29" i="159"/>
  <c r="L25" i="156"/>
  <c r="H25" i="160"/>
  <c r="L25" i="160"/>
  <c r="D26" i="162"/>
  <c r="D25" i="159"/>
  <c r="L25" i="159"/>
  <c r="H25" i="156"/>
  <c r="D25" i="160"/>
  <c r="H26" i="162"/>
  <c r="L26" i="162"/>
  <c r="H25" i="159"/>
  <c r="H13" i="41"/>
  <c r="AB14" i="159"/>
  <c r="H21" i="41"/>
  <c r="AB22" i="159"/>
  <c r="H29" i="41"/>
  <c r="AB30" i="159"/>
  <c r="H16" i="160"/>
  <c r="H17" i="162"/>
  <c r="H16" i="159"/>
  <c r="P24" i="156"/>
  <c r="P25" i="162"/>
  <c r="P24" i="160"/>
  <c r="P24" i="159"/>
  <c r="P8" i="162"/>
  <c r="P8" i="156"/>
  <c r="P8" i="160"/>
  <c r="P9" i="162"/>
  <c r="P8" i="159"/>
  <c r="D42" i="162"/>
  <c r="P19" i="165"/>
  <c r="P10" i="165"/>
  <c r="H14" i="165"/>
  <c r="P13" i="165"/>
  <c r="AB31" i="156"/>
  <c r="AB29" i="156"/>
  <c r="H17" i="160"/>
  <c r="H18" i="162"/>
  <c r="H17" i="159"/>
  <c r="D21" i="160"/>
  <c r="H21" i="160"/>
  <c r="H22" i="162"/>
  <c r="L21" i="160"/>
  <c r="L21" i="156"/>
  <c r="L22" i="162"/>
  <c r="D22" i="162"/>
  <c r="H21" i="156"/>
  <c r="D21" i="159"/>
  <c r="L21" i="159"/>
  <c r="H21" i="159"/>
  <c r="H9" i="156"/>
  <c r="H9" i="160"/>
  <c r="H10" i="162"/>
  <c r="H9" i="159"/>
  <c r="P13" i="156"/>
  <c r="P14" i="162"/>
  <c r="P13" i="160"/>
  <c r="P13" i="159"/>
  <c r="H16" i="165"/>
  <c r="D20" i="165"/>
  <c r="H20" i="165"/>
  <c r="L20" i="165"/>
  <c r="H11" i="165"/>
  <c r="P7" i="165"/>
  <c r="H16" i="41"/>
  <c r="AB17" i="159"/>
  <c r="P7" i="156"/>
  <c r="P7" i="160"/>
  <c r="P7" i="162"/>
  <c r="P7" i="159"/>
  <c r="H9" i="165"/>
  <c r="H11" i="41"/>
  <c r="AB12" i="159"/>
  <c r="H19" i="41"/>
  <c r="AB20" i="159"/>
  <c r="H27" i="41"/>
  <c r="AB28" i="159"/>
  <c r="AB36" i="156"/>
  <c r="AB36" i="159"/>
  <c r="H35" i="41"/>
  <c r="D38" i="41"/>
  <c r="D39" i="41"/>
  <c r="P23" i="162"/>
  <c r="P22" i="156"/>
  <c r="P22" i="160"/>
  <c r="P22" i="159"/>
  <c r="H10" i="156"/>
  <c r="H10" i="160"/>
  <c r="H11" i="162"/>
  <c r="H10" i="159"/>
  <c r="D17" i="165"/>
  <c r="L17" i="165"/>
  <c r="H8" i="165"/>
  <c r="L12" i="165"/>
  <c r="X41" i="159"/>
  <c r="D40" i="41"/>
  <c r="L11" i="156"/>
  <c r="L12" i="162"/>
  <c r="L11" i="160"/>
  <c r="L11" i="159"/>
  <c r="D43" i="162"/>
  <c r="P22" i="165"/>
  <c r="D20" i="160"/>
  <c r="L21" i="162"/>
  <c r="H20" i="156"/>
  <c r="H20" i="160"/>
  <c r="H21" i="162"/>
  <c r="L20" i="160"/>
  <c r="D20" i="159"/>
  <c r="D21" i="162"/>
  <c r="L20" i="156"/>
  <c r="H20" i="159"/>
  <c r="L20" i="159"/>
  <c r="D23" i="165"/>
  <c r="H23" i="165"/>
  <c r="L23" i="165"/>
  <c r="AB37" i="159"/>
  <c r="H36" i="41"/>
  <c r="D23" i="159"/>
  <c r="L23" i="156"/>
  <c r="D24" i="162"/>
  <c r="L24" i="162"/>
  <c r="H23" i="160"/>
  <c r="L23" i="160"/>
  <c r="H23" i="156"/>
  <c r="H24" i="162"/>
  <c r="D23" i="160"/>
  <c r="H23" i="159"/>
  <c r="L23" i="159"/>
  <c r="D41" i="162"/>
  <c r="H15" i="156"/>
  <c r="H16" i="162"/>
  <c r="H15" i="160"/>
  <c r="H15" i="159"/>
  <c r="H14" i="162"/>
  <c r="H13" i="156"/>
  <c r="H13" i="160"/>
  <c r="H13" i="159"/>
  <c r="P11" i="165"/>
  <c r="H18" i="165"/>
  <c r="L18" i="165"/>
  <c r="D18" i="165"/>
  <c r="AB30" i="156"/>
  <c r="P8" i="165"/>
  <c r="X41" i="156"/>
  <c r="P16" i="160"/>
  <c r="P16" i="156"/>
  <c r="P17" i="162"/>
  <c r="P16" i="159"/>
  <c r="L24" i="156"/>
  <c r="H24" i="156"/>
  <c r="H24" i="160"/>
  <c r="L24" i="160"/>
  <c r="D24" i="159"/>
  <c r="L25" i="162"/>
  <c r="H25" i="162"/>
  <c r="D25" i="162"/>
  <c r="D24" i="160"/>
  <c r="H24" i="159"/>
  <c r="L24" i="159"/>
  <c r="H13" i="162"/>
  <c r="H12" i="156"/>
  <c r="H12" i="160"/>
  <c r="H12" i="159"/>
  <c r="P15" i="165"/>
  <c r="D19" i="165"/>
  <c r="H19" i="165"/>
  <c r="L19" i="165"/>
  <c r="H10" i="165"/>
  <c r="L14" i="165"/>
  <c r="AB25" i="159"/>
  <c r="H24" i="41"/>
  <c r="AB37" i="156"/>
  <c r="L13" i="165"/>
  <c r="H14" i="41"/>
  <c r="AB15" i="159"/>
  <c r="H22" i="41"/>
  <c r="AB23" i="159"/>
  <c r="H30" i="41"/>
  <c r="AB31" i="159"/>
  <c r="D41" i="41"/>
  <c r="P18" i="162"/>
  <c r="P17" i="156"/>
  <c r="P17" i="160"/>
  <c r="P17" i="159"/>
  <c r="L16" i="162"/>
  <c r="L15" i="156"/>
  <c r="L15" i="160"/>
  <c r="L15" i="159"/>
  <c r="P9" i="156"/>
  <c r="P9" i="160"/>
  <c r="P10" i="162"/>
  <c r="P9" i="159"/>
  <c r="L13" i="156"/>
  <c r="L14" i="162"/>
  <c r="L13" i="160"/>
  <c r="L13" i="159"/>
  <c r="P16" i="165"/>
  <c r="P24" i="165"/>
  <c r="L11" i="165"/>
  <c r="P19" i="156"/>
  <c r="P19" i="160"/>
  <c r="P20" i="162"/>
  <c r="P19" i="159"/>
  <c r="L7" i="156"/>
  <c r="L7" i="160"/>
  <c r="L7" i="162"/>
  <c r="L7" i="159"/>
  <c r="P9" i="165"/>
  <c r="H7" i="41"/>
  <c r="AB8" i="159"/>
  <c r="AB32" i="156"/>
  <c r="AB26" i="156"/>
  <c r="T35" i="162"/>
  <c r="U35" i="162" s="1"/>
  <c r="Q35" i="162"/>
  <c r="AB7" i="159"/>
  <c r="H6" i="41"/>
  <c r="L6" i="41" s="1"/>
  <c r="H22" i="156"/>
  <c r="L23" i="162"/>
  <c r="H23" i="162"/>
  <c r="H22" i="160"/>
  <c r="D22" i="160"/>
  <c r="L22" i="160"/>
  <c r="D22" i="159"/>
  <c r="D23" i="162"/>
  <c r="L22" i="156"/>
  <c r="H22" i="159"/>
  <c r="L22" i="159"/>
  <c r="P15" i="162"/>
  <c r="P14" i="156"/>
  <c r="P14" i="160"/>
  <c r="P14" i="159"/>
  <c r="P21" i="165"/>
  <c r="L8" i="165"/>
  <c r="H20" i="41"/>
  <c r="AB21" i="159"/>
  <c r="H11" i="156"/>
  <c r="H11" i="160"/>
  <c r="H12" i="162"/>
  <c r="H11" i="159"/>
  <c r="H22" i="165"/>
  <c r="D22" i="165"/>
  <c r="L22" i="165"/>
  <c r="P25" i="160"/>
  <c r="P26" i="162"/>
  <c r="P25" i="156"/>
  <c r="P25" i="159"/>
  <c r="L16" i="160"/>
  <c r="L16" i="156"/>
  <c r="L17" i="162"/>
  <c r="L16" i="159"/>
  <c r="L8" i="162"/>
  <c r="L8" i="160"/>
  <c r="L8" i="156"/>
  <c r="L9" i="162"/>
  <c r="L8" i="159"/>
  <c r="P14" i="165"/>
  <c r="H12" i="41"/>
  <c r="AB13" i="159"/>
  <c r="H10" i="41"/>
  <c r="AB11" i="159"/>
  <c r="AB35" i="159"/>
  <c r="AF35" i="159" s="1"/>
  <c r="H34" i="41"/>
  <c r="L34" i="41" s="1"/>
  <c r="P21" i="160"/>
  <c r="P22" i="162"/>
  <c r="P21" i="156"/>
  <c r="P21" i="159"/>
  <c r="P20" i="165"/>
  <c r="AB27" i="156"/>
  <c r="T34" i="160"/>
  <c r="U34" i="160" s="1"/>
  <c r="Q34" i="160"/>
  <c r="D18" i="159"/>
  <c r="D18" i="160"/>
  <c r="H19" i="162"/>
  <c r="H18" i="160"/>
  <c r="D19" i="162"/>
  <c r="L18" i="156"/>
  <c r="L19" i="162"/>
  <c r="L18" i="160"/>
  <c r="H18" i="159"/>
  <c r="L18" i="159"/>
  <c r="H15" i="162"/>
  <c r="H14" i="156"/>
  <c r="H14" i="160"/>
  <c r="H14" i="159"/>
  <c r="H8" i="41"/>
  <c r="AB9" i="159"/>
  <c r="U34" i="162"/>
  <c r="Q34" i="162"/>
  <c r="H9" i="41"/>
  <c r="AB10" i="159"/>
  <c r="H17" i="41"/>
  <c r="AB18" i="159"/>
  <c r="H25" i="41"/>
  <c r="AB26" i="159"/>
  <c r="AB34" i="159"/>
  <c r="H33" i="41"/>
  <c r="P20" i="160"/>
  <c r="P21" i="162"/>
  <c r="P20" i="156"/>
  <c r="P20" i="159"/>
  <c r="H8" i="162"/>
  <c r="H8" i="160"/>
  <c r="H8" i="156"/>
  <c r="H9" i="162"/>
  <c r="H8" i="159"/>
  <c r="L12" i="156"/>
  <c r="L13" i="162"/>
  <c r="L12" i="160"/>
  <c r="L12" i="159"/>
  <c r="H15" i="165"/>
  <c r="P23" i="165"/>
  <c r="L10" i="165"/>
  <c r="P24" i="162"/>
  <c r="P23" i="156"/>
  <c r="P23" i="160"/>
  <c r="P23" i="159"/>
  <c r="X42" i="159"/>
  <c r="X42" i="156"/>
  <c r="AB35" i="156"/>
  <c r="AB33" i="156"/>
  <c r="D17" i="160"/>
  <c r="D17" i="159"/>
  <c r="D18" i="162"/>
  <c r="L17" i="160"/>
  <c r="L17" i="156"/>
  <c r="L18" i="162"/>
  <c r="L17" i="159"/>
  <c r="P15" i="156"/>
  <c r="P16" i="162"/>
  <c r="P15" i="160"/>
  <c r="P15" i="159"/>
  <c r="L9" i="160"/>
  <c r="L9" i="156"/>
  <c r="L10" i="162"/>
  <c r="L9" i="159"/>
  <c r="L16" i="165"/>
  <c r="D24" i="165"/>
  <c r="L24" i="165"/>
  <c r="H24" i="165"/>
  <c r="L7" i="165"/>
  <c r="H32" i="41"/>
  <c r="AB33" i="159"/>
  <c r="D20" i="162"/>
  <c r="L19" i="160"/>
  <c r="H20" i="162"/>
  <c r="L19" i="156"/>
  <c r="D19" i="160"/>
  <c r="D19" i="159"/>
  <c r="H19" i="156"/>
  <c r="L20" i="162"/>
  <c r="H19" i="160"/>
  <c r="H19" i="159"/>
  <c r="L19" i="159"/>
  <c r="P18" i="165"/>
  <c r="L9" i="165"/>
  <c r="H15" i="41"/>
  <c r="AB16" i="159"/>
  <c r="H23" i="41"/>
  <c r="AB24" i="159"/>
  <c r="H31" i="41"/>
  <c r="AB32" i="159"/>
  <c r="T34" i="159"/>
  <c r="Q34" i="159"/>
  <c r="U34" i="156"/>
  <c r="Q34" i="156"/>
  <c r="X39" i="159"/>
  <c r="X40" i="159"/>
  <c r="P18" i="160"/>
  <c r="P18" i="156"/>
  <c r="P19" i="162"/>
  <c r="P18" i="159"/>
  <c r="P10" i="160"/>
  <c r="P10" i="156"/>
  <c r="P11" i="162"/>
  <c r="P10" i="159"/>
  <c r="L15" i="162"/>
  <c r="L14" i="156"/>
  <c r="L14" i="160"/>
  <c r="L14" i="159"/>
  <c r="H17" i="165"/>
  <c r="D21" i="165"/>
  <c r="H21" i="165"/>
  <c r="L21" i="165"/>
  <c r="H12" i="165"/>
  <c r="P11" i="156"/>
  <c r="P12" i="162"/>
  <c r="P11" i="160"/>
  <c r="P11" i="159"/>
  <c r="U33" i="156"/>
  <c r="Z33" i="156"/>
  <c r="U32" i="159"/>
  <c r="AD32" i="159"/>
  <c r="AD31" i="159"/>
  <c r="Z32" i="156"/>
  <c r="U32" i="156"/>
  <c r="Z31" i="156"/>
  <c r="AD33" i="159"/>
  <c r="U33" i="159"/>
  <c r="T19" i="156" l="1"/>
  <c r="T17" i="156"/>
  <c r="AB17" i="156" s="1"/>
  <c r="T8" i="156"/>
  <c r="AB8" i="156" s="1"/>
  <c r="T16" i="156"/>
  <c r="AB16" i="156" s="1"/>
  <c r="T12" i="156"/>
  <c r="AB12" i="156" s="1"/>
  <c r="T10" i="156"/>
  <c r="AB10" i="156" s="1"/>
  <c r="T9" i="156"/>
  <c r="AB9" i="156" s="1"/>
  <c r="T14" i="156"/>
  <c r="AB14" i="156" s="1"/>
  <c r="T18" i="156"/>
  <c r="AB18" i="156" s="1"/>
  <c r="T24" i="156"/>
  <c r="AB24" i="156" s="1"/>
  <c r="T11" i="156"/>
  <c r="T22" i="156"/>
  <c r="AB22" i="156" s="1"/>
  <c r="T15" i="156"/>
  <c r="AB15" i="156" s="1"/>
  <c r="T20" i="156"/>
  <c r="AB20" i="156" s="1"/>
  <c r="T25" i="156"/>
  <c r="AB25" i="156" s="1"/>
  <c r="T13" i="156"/>
  <c r="AB13" i="156" s="1"/>
  <c r="T23" i="156"/>
  <c r="T21" i="156"/>
  <c r="T7" i="156"/>
  <c r="L29" i="41"/>
  <c r="L21" i="41"/>
  <c r="H43" i="162"/>
  <c r="T14" i="162"/>
  <c r="T7" i="165"/>
  <c r="D7" i="33" s="1"/>
  <c r="L16" i="41"/>
  <c r="T7" i="162"/>
  <c r="T7" i="159"/>
  <c r="AF7" i="159" s="1"/>
  <c r="T8" i="159"/>
  <c r="AF8" i="159" s="1"/>
  <c r="T14" i="159"/>
  <c r="AF14" i="159" s="1"/>
  <c r="L11" i="41"/>
  <c r="T17" i="159"/>
  <c r="AF17" i="159" s="1"/>
  <c r="T12" i="159"/>
  <c r="AF12" i="159" s="1"/>
  <c r="L28" i="41"/>
  <c r="AF36" i="159"/>
  <c r="L10" i="41"/>
  <c r="T10" i="159"/>
  <c r="AF10" i="159" s="1"/>
  <c r="L26" i="41"/>
  <c r="T24" i="162"/>
  <c r="T12" i="160"/>
  <c r="T25" i="162"/>
  <c r="T9" i="160"/>
  <c r="T10" i="162"/>
  <c r="L18" i="41"/>
  <c r="L30" i="41"/>
  <c r="L27" i="41"/>
  <c r="T11" i="159"/>
  <c r="AF11" i="159" s="1"/>
  <c r="T13" i="160"/>
  <c r="T15" i="160"/>
  <c r="L13" i="41"/>
  <c r="T14" i="165"/>
  <c r="D14" i="33" s="1"/>
  <c r="P43" i="162"/>
  <c r="T20" i="162"/>
  <c r="T13" i="162"/>
  <c r="T15" i="159"/>
  <c r="AF15" i="159" s="1"/>
  <c r="D39" i="165"/>
  <c r="T18" i="160"/>
  <c r="T13" i="159"/>
  <c r="AF13" i="159" s="1"/>
  <c r="T11" i="162"/>
  <c r="T15" i="162"/>
  <c r="L19" i="41"/>
  <c r="T8" i="160"/>
  <c r="T11" i="160"/>
  <c r="T23" i="162"/>
  <c r="T22" i="160"/>
  <c r="T21" i="162"/>
  <c r="T20" i="159"/>
  <c r="AF20" i="159" s="1"/>
  <c r="L43" i="162"/>
  <c r="AB19" i="156"/>
  <c r="T16" i="162"/>
  <c r="L31" i="41"/>
  <c r="T9" i="159"/>
  <c r="AF9" i="159" s="1"/>
  <c r="T10" i="160"/>
  <c r="AF37" i="159"/>
  <c r="T15" i="165"/>
  <c r="D15" i="33" s="1"/>
  <c r="T8" i="162"/>
  <c r="T14" i="160"/>
  <c r="P41" i="159"/>
  <c r="D39" i="160"/>
  <c r="L8" i="41"/>
  <c r="T23" i="160"/>
  <c r="T9" i="165"/>
  <c r="D9" i="33" s="1"/>
  <c r="T22" i="162"/>
  <c r="L41" i="156"/>
  <c r="H41" i="160"/>
  <c r="T19" i="162"/>
  <c r="L40" i="156"/>
  <c r="L39" i="156"/>
  <c r="T16" i="165"/>
  <c r="D16" i="33" s="1"/>
  <c r="G10" i="187"/>
  <c r="G20" i="187" s="1"/>
  <c r="D40" i="160"/>
  <c r="AF29" i="159"/>
  <c r="H39" i="165"/>
  <c r="AF34" i="159"/>
  <c r="U34" i="159"/>
  <c r="T19" i="159"/>
  <c r="AF19" i="159" s="1"/>
  <c r="L39" i="165"/>
  <c r="T17" i="160"/>
  <c r="T18" i="159"/>
  <c r="AF18" i="159" s="1"/>
  <c r="P41" i="160"/>
  <c r="D40" i="159"/>
  <c r="L12" i="41"/>
  <c r="H40" i="41"/>
  <c r="AF26" i="159"/>
  <c r="L7" i="41"/>
  <c r="L39" i="159"/>
  <c r="L40" i="159"/>
  <c r="L40" i="160"/>
  <c r="L39" i="160"/>
  <c r="L24" i="41"/>
  <c r="T24" i="160"/>
  <c r="T8" i="165"/>
  <c r="D8" i="33" s="1"/>
  <c r="T20" i="160"/>
  <c r="T12" i="162"/>
  <c r="L20" i="41"/>
  <c r="G10" i="191"/>
  <c r="G20" i="191" s="1"/>
  <c r="L35" i="41"/>
  <c r="L23" i="41"/>
  <c r="L41" i="159"/>
  <c r="T10" i="165"/>
  <c r="D10" i="33" s="1"/>
  <c r="P42" i="162"/>
  <c r="AB34" i="156"/>
  <c r="L25" i="41"/>
  <c r="T25" i="160"/>
  <c r="F10" i="187"/>
  <c r="F20" i="187" s="1"/>
  <c r="AF30" i="159"/>
  <c r="H41" i="162"/>
  <c r="H40" i="162"/>
  <c r="L9" i="41"/>
  <c r="T11" i="165"/>
  <c r="D11" i="33" s="1"/>
  <c r="D40" i="162"/>
  <c r="H41" i="159"/>
  <c r="I10" i="191"/>
  <c r="I20" i="191" s="1"/>
  <c r="T19" i="160"/>
  <c r="AB42" i="156"/>
  <c r="T23" i="165"/>
  <c r="D23" i="33" s="1"/>
  <c r="H42" i="162"/>
  <c r="P41" i="156"/>
  <c r="H41" i="41"/>
  <c r="L42" i="162"/>
  <c r="T16" i="160"/>
  <c r="T25" i="159"/>
  <c r="AF25" i="159" s="1"/>
  <c r="T21" i="165"/>
  <c r="D21" i="33" s="1"/>
  <c r="H39" i="41"/>
  <c r="H38" i="41"/>
  <c r="L32" i="41"/>
  <c r="P25" i="165"/>
  <c r="T25" i="165" s="1"/>
  <c r="D25" i="33" s="1"/>
  <c r="AF32" i="159"/>
  <c r="T18" i="165"/>
  <c r="D18" i="33" s="1"/>
  <c r="T23" i="159"/>
  <c r="AF23" i="159" s="1"/>
  <c r="P41" i="162"/>
  <c r="P40" i="162"/>
  <c r="P40" i="156"/>
  <c r="P39" i="156"/>
  <c r="D41" i="159"/>
  <c r="T21" i="159"/>
  <c r="L41" i="160"/>
  <c r="T7" i="160"/>
  <c r="AF31" i="159"/>
  <c r="T12" i="165"/>
  <c r="D12" i="33" s="1"/>
  <c r="T17" i="165"/>
  <c r="D17" i="33" s="1"/>
  <c r="I10" i="187"/>
  <c r="I20" i="187" s="1"/>
  <c r="H40" i="159"/>
  <c r="H39" i="159"/>
  <c r="H39" i="160"/>
  <c r="H40" i="160"/>
  <c r="H40" i="156"/>
  <c r="H39" i="156"/>
  <c r="F10" i="191"/>
  <c r="F20" i="191" s="1"/>
  <c r="L41" i="162"/>
  <c r="L40" i="162"/>
  <c r="D44" i="162"/>
  <c r="T24" i="159"/>
  <c r="AF24" i="159" s="1"/>
  <c r="C10" i="193"/>
  <c r="C20" i="193" s="1"/>
  <c r="T26" i="162"/>
  <c r="T18" i="162"/>
  <c r="AF33" i="159"/>
  <c r="L33" i="41"/>
  <c r="T20" i="165"/>
  <c r="D20" i="33" s="1"/>
  <c r="AB42" i="159"/>
  <c r="D39" i="159"/>
  <c r="T16" i="159"/>
  <c r="AF16" i="159" s="1"/>
  <c r="T17" i="162"/>
  <c r="AB11" i="156"/>
  <c r="AB41" i="159"/>
  <c r="AB39" i="159"/>
  <c r="AB40" i="159"/>
  <c r="T24" i="165"/>
  <c r="D24" i="33" s="1"/>
  <c r="L44" i="162"/>
  <c r="L15" i="41"/>
  <c r="H44" i="162"/>
  <c r="AB23" i="156"/>
  <c r="L36" i="41"/>
  <c r="T22" i="165"/>
  <c r="D22" i="33" s="1"/>
  <c r="T22" i="159"/>
  <c r="AF22" i="159" s="1"/>
  <c r="E10" i="193"/>
  <c r="E20" i="193" s="1"/>
  <c r="P40" i="159"/>
  <c r="P39" i="159"/>
  <c r="P39" i="160"/>
  <c r="P40" i="160"/>
  <c r="P44" i="162"/>
  <c r="H41" i="156"/>
  <c r="D41" i="160"/>
  <c r="T21" i="160"/>
  <c r="L22" i="41"/>
  <c r="L14" i="41"/>
  <c r="T13" i="165"/>
  <c r="D13" i="33" s="1"/>
  <c r="T19" i="165"/>
  <c r="D19" i="33" s="1"/>
  <c r="T9" i="162"/>
  <c r="AF28" i="159"/>
  <c r="F10" i="221" l="1"/>
  <c r="F20" i="221" s="1"/>
  <c r="I10" i="221"/>
  <c r="G10" i="221"/>
  <c r="G20" i="221" s="1"/>
  <c r="L12" i="33"/>
  <c r="L13" i="33"/>
  <c r="L8" i="33"/>
  <c r="L19" i="33"/>
  <c r="L25" i="33"/>
  <c r="L24" i="33"/>
  <c r="L21" i="33"/>
  <c r="L20" i="33"/>
  <c r="L23" i="33"/>
  <c r="L22" i="33"/>
  <c r="L17" i="33"/>
  <c r="L18" i="33"/>
  <c r="L11" i="33"/>
  <c r="L10" i="33"/>
  <c r="L16" i="33"/>
  <c r="AB14" i="165"/>
  <c r="L14" i="33"/>
  <c r="AB9" i="165"/>
  <c r="L9" i="33"/>
  <c r="AB15" i="165"/>
  <c r="L15" i="33"/>
  <c r="AB7" i="165"/>
  <c r="L7" i="33"/>
  <c r="T41" i="162"/>
  <c r="T42" i="162"/>
  <c r="T43" i="162"/>
  <c r="T44" i="162"/>
  <c r="T41" i="160"/>
  <c r="L41" i="41"/>
  <c r="AF42" i="159"/>
  <c r="F26" i="191"/>
  <c r="F10" i="192"/>
  <c r="F20" i="192" s="1"/>
  <c r="I10" i="194"/>
  <c r="I20" i="194" s="1"/>
  <c r="I26" i="187"/>
  <c r="AB24" i="165"/>
  <c r="AB20" i="165"/>
  <c r="C10" i="184"/>
  <c r="C20" i="184" s="1"/>
  <c r="C26" i="193"/>
  <c r="AB7" i="156"/>
  <c r="T40" i="156"/>
  <c r="B10" i="187" s="1"/>
  <c r="B20" i="187" s="1"/>
  <c r="T39" i="156"/>
  <c r="E10" i="187" s="1"/>
  <c r="E20" i="187" s="1"/>
  <c r="T39" i="160"/>
  <c r="E10" i="190" s="1"/>
  <c r="E20" i="190" s="1"/>
  <c r="T40" i="160"/>
  <c r="B10" i="190" s="1"/>
  <c r="B20" i="190" s="1"/>
  <c r="AB18" i="165"/>
  <c r="AB23" i="165"/>
  <c r="AB10" i="165"/>
  <c r="L40" i="41"/>
  <c r="AB8" i="165"/>
  <c r="G10" i="194"/>
  <c r="G20" i="194" s="1"/>
  <c r="G26" i="187"/>
  <c r="AF40" i="159"/>
  <c r="N10" i="191" s="1"/>
  <c r="N20" i="191" s="1"/>
  <c r="P26" i="165"/>
  <c r="T26" i="165" s="1"/>
  <c r="D26" i="33" s="1"/>
  <c r="F10" i="194"/>
  <c r="F20" i="194" s="1"/>
  <c r="F26" i="187"/>
  <c r="G10" i="192"/>
  <c r="G20" i="192" s="1"/>
  <c r="G26" i="191"/>
  <c r="AB13" i="165"/>
  <c r="AB22" i="165"/>
  <c r="AB17" i="165"/>
  <c r="T41" i="159"/>
  <c r="C10" i="191" s="1"/>
  <c r="C20" i="191" s="1"/>
  <c r="AF21" i="159"/>
  <c r="AF41" i="159" s="1"/>
  <c r="O10" i="191" s="1"/>
  <c r="O20" i="191" s="1"/>
  <c r="AB25" i="165"/>
  <c r="AB21" i="165"/>
  <c r="AB16" i="165"/>
  <c r="T40" i="159"/>
  <c r="B10" i="191" s="1"/>
  <c r="B20" i="191" s="1"/>
  <c r="L38" i="41"/>
  <c r="T40" i="162"/>
  <c r="AB19" i="165"/>
  <c r="AB11" i="165"/>
  <c r="T41" i="156"/>
  <c r="C10" i="187" s="1"/>
  <c r="C20" i="187" s="1"/>
  <c r="AB21" i="156"/>
  <c r="AB41" i="156" s="1"/>
  <c r="K10" i="187" s="1"/>
  <c r="K20" i="187" s="1"/>
  <c r="E26" i="193"/>
  <c r="E10" i="184"/>
  <c r="E20" i="184" s="1"/>
  <c r="AB12" i="165"/>
  <c r="I10" i="192"/>
  <c r="I20" i="192" s="1"/>
  <c r="I26" i="191"/>
  <c r="T39" i="159"/>
  <c r="E10" i="191" s="1"/>
  <c r="E20" i="191" s="1"/>
  <c r="L39" i="41"/>
  <c r="I20" i="221" l="1"/>
  <c r="I26" i="221" s="1"/>
  <c r="F10" i="242"/>
  <c r="G10" i="242" s="1"/>
  <c r="G20" i="242" s="1"/>
  <c r="G26" i="242" s="1"/>
  <c r="C20" i="223"/>
  <c r="I20" i="223"/>
  <c r="D20" i="223"/>
  <c r="B20" i="223"/>
  <c r="F11" i="175"/>
  <c r="P11" i="175"/>
  <c r="D11" i="175"/>
  <c r="D10" i="224" s="1"/>
  <c r="N11" i="175"/>
  <c r="O26" i="191"/>
  <c r="B26" i="190"/>
  <c r="B10" i="221"/>
  <c r="C10" i="221"/>
  <c r="C20" i="221" s="1"/>
  <c r="E10" i="221"/>
  <c r="K10" i="194"/>
  <c r="K20" i="194" s="1"/>
  <c r="K26" i="187"/>
  <c r="I10" i="184"/>
  <c r="I20" i="184" s="1"/>
  <c r="E10" i="194"/>
  <c r="E20" i="194" s="1"/>
  <c r="E26" i="187"/>
  <c r="C10" i="194"/>
  <c r="C20" i="194" s="1"/>
  <c r="C26" i="187"/>
  <c r="B10" i="192"/>
  <c r="B20" i="192" s="1"/>
  <c r="B26" i="191"/>
  <c r="C26" i="191"/>
  <c r="C10" i="192"/>
  <c r="C20" i="192" s="1"/>
  <c r="F26" i="221"/>
  <c r="F10" i="222"/>
  <c r="F20" i="222" s="1"/>
  <c r="G26" i="194"/>
  <c r="K10" i="193"/>
  <c r="B10" i="194"/>
  <c r="B20" i="194" s="1"/>
  <c r="B26" i="187"/>
  <c r="C26" i="184"/>
  <c r="I10" i="222"/>
  <c r="I20" i="222" s="1"/>
  <c r="O10" i="192"/>
  <c r="O20" i="192" s="1"/>
  <c r="P27" i="165"/>
  <c r="T27" i="165" s="1"/>
  <c r="D27" i="33" s="1"/>
  <c r="F26" i="192"/>
  <c r="E26" i="184"/>
  <c r="M10" i="193"/>
  <c r="M20" i="193" s="1"/>
  <c r="G26" i="192"/>
  <c r="H10" i="184"/>
  <c r="H20" i="184" s="1"/>
  <c r="N26" i="191"/>
  <c r="N10" i="192"/>
  <c r="N20" i="192" s="1"/>
  <c r="G10" i="184"/>
  <c r="G20" i="184" s="1"/>
  <c r="B10" i="189"/>
  <c r="B20" i="189" s="1"/>
  <c r="AB40" i="156"/>
  <c r="J10" i="187" s="1"/>
  <c r="J20" i="187" s="1"/>
  <c r="AB39" i="156"/>
  <c r="M10" i="187" s="1"/>
  <c r="M20" i="187" s="1"/>
  <c r="I26" i="194"/>
  <c r="I26" i="192"/>
  <c r="F26" i="194"/>
  <c r="E10" i="192"/>
  <c r="E20" i="192" s="1"/>
  <c r="E26" i="191"/>
  <c r="H10" i="222"/>
  <c r="H20" i="222" s="1"/>
  <c r="G26" i="221"/>
  <c r="G10" i="222"/>
  <c r="G20" i="222" s="1"/>
  <c r="AB26" i="165"/>
  <c r="AF39" i="159"/>
  <c r="Q10" i="191" s="1"/>
  <c r="Q20" i="191" s="1"/>
  <c r="E10" i="189"/>
  <c r="E20" i="189" s="1"/>
  <c r="E26" i="190"/>
  <c r="L10" i="184"/>
  <c r="L20" i="184" s="1"/>
  <c r="N29" i="162"/>
  <c r="N28" i="156"/>
  <c r="R28" i="156" s="1"/>
  <c r="N28" i="160"/>
  <c r="N28" i="159"/>
  <c r="N30" i="160"/>
  <c r="N31" i="162"/>
  <c r="N30" i="156"/>
  <c r="R30" i="156" s="1"/>
  <c r="N30" i="159"/>
  <c r="N28" i="162"/>
  <c r="N27" i="156"/>
  <c r="R27" i="156" s="1"/>
  <c r="N27" i="160"/>
  <c r="N27" i="159"/>
  <c r="E20" i="221" l="1"/>
  <c r="C10" i="242"/>
  <c r="B20" i="221"/>
  <c r="B26" i="221" s="1"/>
  <c r="F10" i="243"/>
  <c r="F20" i="243" s="1"/>
  <c r="F26" i="243" s="1"/>
  <c r="F20" i="242"/>
  <c r="G10" i="243"/>
  <c r="G20" i="243" s="1"/>
  <c r="G26" i="243" s="1"/>
  <c r="N22" i="175"/>
  <c r="N28" i="175" s="1"/>
  <c r="N10" i="224"/>
  <c r="N21" i="224" s="1"/>
  <c r="P22" i="175"/>
  <c r="P28" i="175" s="1"/>
  <c r="P10" i="224"/>
  <c r="P21" i="224" s="1"/>
  <c r="F22" i="175"/>
  <c r="F28" i="175" s="1"/>
  <c r="F10" i="224"/>
  <c r="F11" i="199"/>
  <c r="F22" i="199" s="1"/>
  <c r="F28" i="199" s="1"/>
  <c r="D21" i="224"/>
  <c r="D22" i="175"/>
  <c r="D28" i="175" s="1"/>
  <c r="J20" i="223"/>
  <c r="O10" i="221"/>
  <c r="O20" i="221" s="1"/>
  <c r="K20" i="193"/>
  <c r="K26" i="193" s="1"/>
  <c r="H20" i="223"/>
  <c r="D11" i="199"/>
  <c r="N11" i="199"/>
  <c r="O21" i="224"/>
  <c r="N10" i="221"/>
  <c r="N20" i="221" s="1"/>
  <c r="Q10" i="221"/>
  <c r="Q20" i="221" s="1"/>
  <c r="M21" i="224"/>
  <c r="L21" i="224"/>
  <c r="C21" i="224"/>
  <c r="P11" i="199"/>
  <c r="E26" i="189"/>
  <c r="B26" i="189"/>
  <c r="O26" i="192"/>
  <c r="B26" i="192"/>
  <c r="E26" i="192"/>
  <c r="C26" i="192"/>
  <c r="N26" i="192"/>
  <c r="B26" i="194"/>
  <c r="K26" i="194"/>
  <c r="C26" i="194"/>
  <c r="E26" i="194"/>
  <c r="N28" i="233"/>
  <c r="M28" i="233"/>
  <c r="C28" i="233"/>
  <c r="F28" i="233"/>
  <c r="B28" i="233"/>
  <c r="D28" i="233"/>
  <c r="O28" i="233"/>
  <c r="E28" i="233"/>
  <c r="O32" i="162"/>
  <c r="O31" i="160"/>
  <c r="O31" i="156"/>
  <c r="S31" i="156" s="1"/>
  <c r="O31" i="159"/>
  <c r="O31" i="162"/>
  <c r="S31" i="162" s="1"/>
  <c r="O30" i="160"/>
  <c r="S30" i="160" s="1"/>
  <c r="O30" i="156"/>
  <c r="S30" i="156" s="1"/>
  <c r="O30" i="159"/>
  <c r="S30" i="159" s="1"/>
  <c r="H26" i="184"/>
  <c r="I26" i="184"/>
  <c r="I10" i="220"/>
  <c r="I20" i="220" s="1"/>
  <c r="I26" i="223"/>
  <c r="D10" i="220"/>
  <c r="D20" i="220" s="1"/>
  <c r="D26" i="223"/>
  <c r="C26" i="223"/>
  <c r="C10" i="220"/>
  <c r="C20" i="220" s="1"/>
  <c r="J10" i="194"/>
  <c r="J20" i="194" s="1"/>
  <c r="J26" i="187"/>
  <c r="M10" i="184"/>
  <c r="M20" i="184" s="1"/>
  <c r="M26" i="193"/>
  <c r="B10" i="220"/>
  <c r="B20" i="220" s="1"/>
  <c r="B26" i="223"/>
  <c r="K10" i="184"/>
  <c r="K20" i="184" s="1"/>
  <c r="E26" i="221"/>
  <c r="E10" i="222"/>
  <c r="E20" i="222" s="1"/>
  <c r="P10" i="222"/>
  <c r="P20" i="222" s="1"/>
  <c r="M10" i="194"/>
  <c r="M20" i="194" s="1"/>
  <c r="M26" i="187"/>
  <c r="AB27" i="165"/>
  <c r="Q26" i="191"/>
  <c r="Q10" i="192"/>
  <c r="Q20" i="192" s="1"/>
  <c r="G26" i="222"/>
  <c r="H26" i="222"/>
  <c r="B10" i="222"/>
  <c r="B20" i="222" s="1"/>
  <c r="G26" i="184"/>
  <c r="P28" i="165"/>
  <c r="T28" i="165" s="1"/>
  <c r="D28" i="33" s="1"/>
  <c r="C10" i="222"/>
  <c r="C20" i="222" s="1"/>
  <c r="C26" i="221"/>
  <c r="F26" i="222"/>
  <c r="L26" i="184"/>
  <c r="I26" i="222"/>
  <c r="B7" i="160"/>
  <c r="B7" i="162"/>
  <c r="B7" i="159"/>
  <c r="N10" i="162"/>
  <c r="N9" i="160"/>
  <c r="N9" i="156"/>
  <c r="N9" i="159"/>
  <c r="N25" i="160"/>
  <c r="N25" i="156"/>
  <c r="R25" i="156" s="1"/>
  <c r="N26" i="162"/>
  <c r="N25" i="159"/>
  <c r="B8" i="165"/>
  <c r="B8" i="162"/>
  <c r="B8" i="160"/>
  <c r="B9" i="162"/>
  <c r="B8" i="159"/>
  <c r="N8" i="162"/>
  <c r="N9" i="162"/>
  <c r="N8" i="156"/>
  <c r="N8" i="160"/>
  <c r="N8" i="159"/>
  <c r="N14" i="162"/>
  <c r="N13" i="156"/>
  <c r="N13" i="160"/>
  <c r="N13" i="159"/>
  <c r="N18" i="160"/>
  <c r="N19" i="162"/>
  <c r="N18" i="156"/>
  <c r="N18" i="159"/>
  <c r="N25" i="162"/>
  <c r="N24" i="156"/>
  <c r="N24" i="160"/>
  <c r="N24" i="159"/>
  <c r="R27" i="159"/>
  <c r="R30" i="159"/>
  <c r="R31" i="162"/>
  <c r="R28" i="159"/>
  <c r="B15" i="162"/>
  <c r="B14" i="160"/>
  <c r="B14" i="159"/>
  <c r="R30" i="160"/>
  <c r="N7" i="156"/>
  <c r="N7" i="160"/>
  <c r="N7" i="162"/>
  <c r="N7" i="159"/>
  <c r="N12" i="156"/>
  <c r="N12" i="160"/>
  <c r="N13" i="162"/>
  <c r="N12" i="159"/>
  <c r="N15" i="162"/>
  <c r="N14" i="156"/>
  <c r="N14" i="160"/>
  <c r="N14" i="159"/>
  <c r="N22" i="156"/>
  <c r="N23" i="162"/>
  <c r="N22" i="160"/>
  <c r="N22" i="159"/>
  <c r="N27" i="162"/>
  <c r="N26" i="160"/>
  <c r="N26" i="156"/>
  <c r="R26" i="156" s="1"/>
  <c r="N26" i="159"/>
  <c r="R27" i="160"/>
  <c r="B7" i="165"/>
  <c r="N20" i="162"/>
  <c r="N19" i="160"/>
  <c r="N19" i="156"/>
  <c r="N19" i="159"/>
  <c r="B14" i="162"/>
  <c r="B13" i="160"/>
  <c r="B13" i="159"/>
  <c r="N15" i="156"/>
  <c r="N16" i="162"/>
  <c r="N15" i="160"/>
  <c r="N15" i="159"/>
  <c r="N23" i="160"/>
  <c r="N24" i="162"/>
  <c r="N23" i="156"/>
  <c r="N23" i="159"/>
  <c r="N30" i="162"/>
  <c r="N29" i="156"/>
  <c r="R29" i="156" s="1"/>
  <c r="N29" i="160"/>
  <c r="N29" i="159"/>
  <c r="R28" i="162"/>
  <c r="R28" i="160"/>
  <c r="R29" i="162"/>
  <c r="F26" i="242" l="1"/>
  <c r="C20" i="242"/>
  <c r="C26" i="242" s="1"/>
  <c r="C10" i="243"/>
  <c r="C20" i="243" s="1"/>
  <c r="C26" i="243" s="1"/>
  <c r="I10" i="242"/>
  <c r="D22" i="199"/>
  <c r="D28" i="199" s="1"/>
  <c r="E21" i="224"/>
  <c r="E27" i="224" s="1"/>
  <c r="N22" i="199"/>
  <c r="N28" i="199" s="1"/>
  <c r="B10" i="225"/>
  <c r="B21" i="224"/>
  <c r="B27" i="224" s="1"/>
  <c r="F21" i="224"/>
  <c r="F27" i="224" s="1"/>
  <c r="P22" i="199"/>
  <c r="P28" i="199" s="1"/>
  <c r="E10" i="225"/>
  <c r="E21" i="225" s="1"/>
  <c r="E27" i="225" s="1"/>
  <c r="F10" i="225"/>
  <c r="L27" i="33"/>
  <c r="C26" i="222"/>
  <c r="B26" i="222"/>
  <c r="E26" i="222"/>
  <c r="I26" i="220"/>
  <c r="D26" i="220"/>
  <c r="C26" i="220"/>
  <c r="B26" i="220"/>
  <c r="O26" i="221"/>
  <c r="O10" i="222"/>
  <c r="O20" i="222" s="1"/>
  <c r="Q26" i="192"/>
  <c r="M26" i="194"/>
  <c r="J26" i="194"/>
  <c r="N28" i="234"/>
  <c r="E28" i="234"/>
  <c r="D28" i="234"/>
  <c r="C28" i="234"/>
  <c r="F28" i="234"/>
  <c r="O28" i="234"/>
  <c r="B28" i="234"/>
  <c r="M28" i="234"/>
  <c r="L28" i="233"/>
  <c r="P28" i="233"/>
  <c r="D10" i="225"/>
  <c r="D21" i="225" s="1"/>
  <c r="D27" i="224"/>
  <c r="O27" i="224"/>
  <c r="C10" i="225"/>
  <c r="C21" i="225" s="1"/>
  <c r="C27" i="224"/>
  <c r="M27" i="224"/>
  <c r="N10" i="225"/>
  <c r="N21" i="225" s="1"/>
  <c r="N27" i="224"/>
  <c r="M10" i="225"/>
  <c r="M21" i="225" s="1"/>
  <c r="O10" i="225"/>
  <c r="O21" i="225" s="1"/>
  <c r="Q30" i="160"/>
  <c r="Q30" i="156"/>
  <c r="Q30" i="159"/>
  <c r="Q31" i="162"/>
  <c r="U31" i="162"/>
  <c r="S31" i="159"/>
  <c r="Q31" i="159"/>
  <c r="S32" i="162"/>
  <c r="U32" i="162" s="1"/>
  <c r="Q32" i="162"/>
  <c r="U30" i="160"/>
  <c r="Q31" i="156"/>
  <c r="S31" i="160"/>
  <c r="U31" i="160" s="1"/>
  <c r="Q31" i="160"/>
  <c r="J26" i="223"/>
  <c r="J10" i="220"/>
  <c r="J20" i="220" s="1"/>
  <c r="N26" i="221"/>
  <c r="N10" i="222"/>
  <c r="N20" i="222" s="1"/>
  <c r="P26" i="222"/>
  <c r="M26" i="184"/>
  <c r="P29" i="165"/>
  <c r="H26" i="223"/>
  <c r="H10" i="220"/>
  <c r="H20" i="220" s="1"/>
  <c r="L26" i="33"/>
  <c r="AB28" i="165"/>
  <c r="Q10" i="222"/>
  <c r="Q20" i="222" s="1"/>
  <c r="Q26" i="221"/>
  <c r="K26" i="184"/>
  <c r="Z28" i="156"/>
  <c r="Z27" i="156"/>
  <c r="N10" i="160"/>
  <c r="N11" i="162"/>
  <c r="N10" i="156"/>
  <c r="N10" i="159"/>
  <c r="B13" i="162"/>
  <c r="B12" i="160"/>
  <c r="B12" i="159"/>
  <c r="R29" i="159"/>
  <c r="N41" i="162"/>
  <c r="AD30" i="159"/>
  <c r="U30" i="159"/>
  <c r="R25" i="160"/>
  <c r="N12" i="162"/>
  <c r="N11" i="160"/>
  <c r="N11" i="156"/>
  <c r="N11" i="159"/>
  <c r="R29" i="160"/>
  <c r="R25" i="159"/>
  <c r="N22" i="162"/>
  <c r="N21" i="160"/>
  <c r="N21" i="156"/>
  <c r="N21" i="159"/>
  <c r="R26" i="160"/>
  <c r="AD28" i="159"/>
  <c r="AD27" i="159"/>
  <c r="R26" i="162"/>
  <c r="Z30" i="156"/>
  <c r="U30" i="156"/>
  <c r="R26" i="159"/>
  <c r="N18" i="162"/>
  <c r="N17" i="156"/>
  <c r="N17" i="160"/>
  <c r="N17" i="159"/>
  <c r="N16" i="160"/>
  <c r="N17" i="162"/>
  <c r="N16" i="156"/>
  <c r="N16" i="159"/>
  <c r="N20" i="156"/>
  <c r="N21" i="162"/>
  <c r="N20" i="160"/>
  <c r="N20" i="159"/>
  <c r="R30" i="162"/>
  <c r="R27" i="162"/>
  <c r="B41" i="162"/>
  <c r="I10" i="243" l="1"/>
  <c r="I20" i="243" s="1"/>
  <c r="I26" i="243" s="1"/>
  <c r="I20" i="242"/>
  <c r="I26" i="242" s="1"/>
  <c r="B21" i="225"/>
  <c r="B27" i="225" s="1"/>
  <c r="F21" i="225"/>
  <c r="F27" i="225" s="1"/>
  <c r="L28" i="33"/>
  <c r="N26" i="222"/>
  <c r="Q26" i="222"/>
  <c r="O26" i="222"/>
  <c r="H26" i="220"/>
  <c r="J26" i="220"/>
  <c r="P28" i="234"/>
  <c r="L28" i="234"/>
  <c r="M27" i="225"/>
  <c r="D27" i="225"/>
  <c r="C27" i="225"/>
  <c r="O27" i="225"/>
  <c r="N27" i="225"/>
  <c r="L27" i="224"/>
  <c r="P27" i="224"/>
  <c r="L10" i="225"/>
  <c r="L21" i="225" s="1"/>
  <c r="P10" i="225"/>
  <c r="P21" i="225" s="1"/>
  <c r="U31" i="159"/>
  <c r="U31" i="156"/>
  <c r="N40" i="162"/>
  <c r="N39" i="159"/>
  <c r="N44" i="162"/>
  <c r="N40" i="159"/>
  <c r="T29" i="165"/>
  <c r="D29" i="33" s="1"/>
  <c r="P39" i="165"/>
  <c r="AD25" i="159"/>
  <c r="B9" i="165"/>
  <c r="Z25" i="156"/>
  <c r="Z29" i="156"/>
  <c r="AD26" i="159"/>
  <c r="N41" i="156"/>
  <c r="AD29" i="159"/>
  <c r="B9" i="160"/>
  <c r="B10" i="162"/>
  <c r="B9" i="159"/>
  <c r="N40" i="156"/>
  <c r="N40" i="160"/>
  <c r="N41" i="159"/>
  <c r="N41" i="160"/>
  <c r="N43" i="162"/>
  <c r="Z26" i="156"/>
  <c r="N39" i="156"/>
  <c r="N39" i="160"/>
  <c r="N42" i="162"/>
  <c r="P27" i="225" l="1"/>
  <c r="L27" i="225"/>
  <c r="AB29" i="165"/>
  <c r="AB39" i="165" s="1"/>
  <c r="B10" i="42" s="1"/>
  <c r="B21" i="42" s="1"/>
  <c r="T39" i="165"/>
  <c r="B10" i="165"/>
  <c r="B10" i="160"/>
  <c r="B11" i="162"/>
  <c r="B10" i="159"/>
  <c r="B11" i="165"/>
  <c r="N19" i="165"/>
  <c r="B12" i="162"/>
  <c r="B11" i="160"/>
  <c r="B11" i="159"/>
  <c r="B10" i="196" l="1"/>
  <c r="B21" i="196" s="1"/>
  <c r="B27" i="42"/>
  <c r="B22" i="162"/>
  <c r="J22" i="162"/>
  <c r="F22" i="162"/>
  <c r="F21" i="160"/>
  <c r="B21" i="159"/>
  <c r="J21" i="156"/>
  <c r="J21" i="160"/>
  <c r="B21" i="160"/>
  <c r="F21" i="156"/>
  <c r="J21" i="159"/>
  <c r="F21" i="159"/>
  <c r="N8" i="165"/>
  <c r="F7" i="165"/>
  <c r="F7" i="156"/>
  <c r="F7" i="160"/>
  <c r="F7" i="162"/>
  <c r="F7" i="159"/>
  <c r="N23" i="165"/>
  <c r="B23" i="159"/>
  <c r="J23" i="156"/>
  <c r="J23" i="160"/>
  <c r="J24" i="162"/>
  <c r="F23" i="156"/>
  <c r="F24" i="162"/>
  <c r="F23" i="160"/>
  <c r="B24" i="162"/>
  <c r="B23" i="160"/>
  <c r="F23" i="159"/>
  <c r="J23" i="159"/>
  <c r="B20" i="159"/>
  <c r="F21" i="162"/>
  <c r="J20" i="160"/>
  <c r="J21" i="162"/>
  <c r="B21" i="162"/>
  <c r="F20" i="160"/>
  <c r="F20" i="156"/>
  <c r="B20" i="160"/>
  <c r="J20" i="156"/>
  <c r="F20" i="159"/>
  <c r="J20" i="159"/>
  <c r="F24" i="165"/>
  <c r="J24" i="165"/>
  <c r="B24" i="165"/>
  <c r="F18" i="162"/>
  <c r="F17" i="160"/>
  <c r="F17" i="159"/>
  <c r="F14" i="156"/>
  <c r="F15" i="162"/>
  <c r="F14" i="160"/>
  <c r="F14" i="159"/>
  <c r="N12" i="165"/>
  <c r="N14" i="165"/>
  <c r="N26" i="165"/>
  <c r="N22" i="165"/>
  <c r="N17" i="165"/>
  <c r="F9" i="165"/>
  <c r="F8" i="165"/>
  <c r="F11" i="165"/>
  <c r="J14" i="165"/>
  <c r="F18" i="165"/>
  <c r="J18" i="165"/>
  <c r="B18" i="165"/>
  <c r="B18" i="160"/>
  <c r="B18" i="159"/>
  <c r="F18" i="156"/>
  <c r="F18" i="160"/>
  <c r="F19" i="162"/>
  <c r="B19" i="162"/>
  <c r="J18" i="156"/>
  <c r="J18" i="160"/>
  <c r="J19" i="162"/>
  <c r="J18" i="159"/>
  <c r="F18" i="159"/>
  <c r="F17" i="165"/>
  <c r="N28" i="165"/>
  <c r="N25" i="165"/>
  <c r="F11" i="156"/>
  <c r="F11" i="160"/>
  <c r="F12" i="162"/>
  <c r="F11" i="159"/>
  <c r="B22" i="160"/>
  <c r="J22" i="160"/>
  <c r="B23" i="162"/>
  <c r="J23" i="162"/>
  <c r="B22" i="159"/>
  <c r="F23" i="162"/>
  <c r="J22" i="156"/>
  <c r="F22" i="160"/>
  <c r="F22" i="156"/>
  <c r="F22" i="159"/>
  <c r="J22" i="159"/>
  <c r="F14" i="165"/>
  <c r="N13" i="165"/>
  <c r="F9" i="156"/>
  <c r="F9" i="160"/>
  <c r="F10" i="162"/>
  <c r="F9" i="159"/>
  <c r="F10" i="165"/>
  <c r="F10" i="156"/>
  <c r="F10" i="160"/>
  <c r="F11" i="162"/>
  <c r="F10" i="159"/>
  <c r="J15" i="165"/>
  <c r="J16" i="156"/>
  <c r="R16" i="156" s="1"/>
  <c r="J16" i="160"/>
  <c r="J17" i="162"/>
  <c r="J16" i="159"/>
  <c r="N24" i="165"/>
  <c r="B42" i="162"/>
  <c r="B43" i="162"/>
  <c r="B22" i="165"/>
  <c r="F22" i="165"/>
  <c r="J22" i="165"/>
  <c r="F15" i="156"/>
  <c r="F16" i="162"/>
  <c r="F15" i="160"/>
  <c r="F15" i="159"/>
  <c r="N10" i="165"/>
  <c r="N21" i="165"/>
  <c r="F12" i="156"/>
  <c r="F13" i="162"/>
  <c r="F12" i="160"/>
  <c r="F12" i="159"/>
  <c r="J14" i="156"/>
  <c r="J15" i="162"/>
  <c r="J14" i="160"/>
  <c r="J14" i="159"/>
  <c r="B17" i="165"/>
  <c r="J17" i="165"/>
  <c r="B25" i="162"/>
  <c r="B24" i="160"/>
  <c r="F24" i="160"/>
  <c r="B24" i="159"/>
  <c r="J25" i="162"/>
  <c r="F25" i="162"/>
  <c r="F24" i="156"/>
  <c r="J24" i="160"/>
  <c r="J24" i="156"/>
  <c r="J24" i="159"/>
  <c r="F24" i="159"/>
  <c r="F16" i="165"/>
  <c r="N29" i="165"/>
  <c r="N15" i="165"/>
  <c r="N27" i="165"/>
  <c r="N16" i="165"/>
  <c r="F8" i="162"/>
  <c r="F8" i="156"/>
  <c r="F8" i="160"/>
  <c r="F9" i="162"/>
  <c r="F8" i="159"/>
  <c r="F20" i="165"/>
  <c r="B20" i="165"/>
  <c r="J20" i="165"/>
  <c r="B21" i="165"/>
  <c r="F21" i="165"/>
  <c r="J21" i="165"/>
  <c r="F23" i="165"/>
  <c r="B23" i="165"/>
  <c r="J23" i="165"/>
  <c r="F15" i="165"/>
  <c r="F16" i="160"/>
  <c r="F17" i="162"/>
  <c r="F16" i="159"/>
  <c r="N7" i="165"/>
  <c r="N11" i="165"/>
  <c r="N9" i="165"/>
  <c r="N20" i="165"/>
  <c r="N18" i="165"/>
  <c r="F13" i="165"/>
  <c r="F12" i="165"/>
  <c r="F14" i="162"/>
  <c r="F13" i="156"/>
  <c r="F13" i="160"/>
  <c r="F13" i="159"/>
  <c r="J16" i="162"/>
  <c r="J15" i="156"/>
  <c r="J15" i="160"/>
  <c r="J15" i="159"/>
  <c r="B17" i="159"/>
  <c r="B17" i="160"/>
  <c r="B18" i="162"/>
  <c r="J17" i="160"/>
  <c r="J17" i="156"/>
  <c r="R17" i="156" s="1"/>
  <c r="J18" i="162"/>
  <c r="J17" i="159"/>
  <c r="J16" i="165"/>
  <c r="R23" i="156" l="1"/>
  <c r="R21" i="156"/>
  <c r="R18" i="156"/>
  <c r="R22" i="156"/>
  <c r="R14" i="156"/>
  <c r="R15" i="156"/>
  <c r="R24" i="156"/>
  <c r="R20" i="156"/>
  <c r="B27" i="196"/>
  <c r="R20" i="165"/>
  <c r="B20" i="33" s="1"/>
  <c r="R15" i="160"/>
  <c r="R16" i="162"/>
  <c r="J25" i="165"/>
  <c r="B25" i="165"/>
  <c r="F25" i="165"/>
  <c r="B19" i="159"/>
  <c r="B39" i="159" s="1"/>
  <c r="F19" i="156"/>
  <c r="B20" i="162"/>
  <c r="B40" i="162" s="1"/>
  <c r="J19" i="160"/>
  <c r="J19" i="156"/>
  <c r="F19" i="160"/>
  <c r="B19" i="160"/>
  <c r="J20" i="162"/>
  <c r="F20" i="162"/>
  <c r="J19" i="159"/>
  <c r="F19" i="159"/>
  <c r="F42" i="162"/>
  <c r="R25" i="162"/>
  <c r="R22" i="160"/>
  <c r="F43" i="162"/>
  <c r="R14" i="159"/>
  <c r="R20" i="159"/>
  <c r="F41" i="159"/>
  <c r="F41" i="156"/>
  <c r="J41" i="160"/>
  <c r="F41" i="160"/>
  <c r="B28" i="165"/>
  <c r="J28" i="165"/>
  <c r="F28" i="165"/>
  <c r="R17" i="162"/>
  <c r="R23" i="162"/>
  <c r="J41" i="159"/>
  <c r="B41" i="160"/>
  <c r="R21" i="160"/>
  <c r="J41" i="156"/>
  <c r="R22" i="162"/>
  <c r="R16" i="165"/>
  <c r="B16" i="33" s="1"/>
  <c r="R18" i="162"/>
  <c r="N39" i="165"/>
  <c r="R23" i="165"/>
  <c r="B23" i="33" s="1"/>
  <c r="R21" i="165"/>
  <c r="B21" i="33" s="1"/>
  <c r="R29" i="165"/>
  <c r="B29" i="33" s="1"/>
  <c r="R22" i="165"/>
  <c r="B22" i="33" s="1"/>
  <c r="R16" i="160"/>
  <c r="R22" i="159"/>
  <c r="R18" i="159"/>
  <c r="R18" i="165"/>
  <c r="B18" i="33" s="1"/>
  <c r="R14" i="160"/>
  <c r="R24" i="165"/>
  <c r="B24" i="33" s="1"/>
  <c r="R23" i="160"/>
  <c r="R23" i="159"/>
  <c r="B19" i="165"/>
  <c r="F19" i="165"/>
  <c r="J19" i="165"/>
  <c r="R17" i="159"/>
  <c r="R24" i="159"/>
  <c r="R19" i="162"/>
  <c r="R15" i="162"/>
  <c r="R21" i="162"/>
  <c r="F41" i="162"/>
  <c r="J27" i="165"/>
  <c r="F27" i="165"/>
  <c r="B27" i="165"/>
  <c r="R17" i="160"/>
  <c r="B26" i="165"/>
  <c r="F26" i="165"/>
  <c r="J26" i="165"/>
  <c r="R24" i="160"/>
  <c r="R17" i="165"/>
  <c r="B17" i="33" s="1"/>
  <c r="R15" i="159"/>
  <c r="R16" i="159"/>
  <c r="R18" i="160"/>
  <c r="R20" i="160"/>
  <c r="R24" i="162"/>
  <c r="B41" i="159"/>
  <c r="R21" i="159"/>
  <c r="F40" i="156" l="1"/>
  <c r="R19" i="156"/>
  <c r="F39" i="156"/>
  <c r="F39" i="160"/>
  <c r="F40" i="162"/>
  <c r="F44" i="162"/>
  <c r="F40" i="159"/>
  <c r="F39" i="159"/>
  <c r="B40" i="159"/>
  <c r="B44" i="162"/>
  <c r="F40" i="160"/>
  <c r="J10" i="165"/>
  <c r="AD17" i="159"/>
  <c r="Z23" i="156"/>
  <c r="Z18" i="165"/>
  <c r="AD18" i="159"/>
  <c r="J7" i="156"/>
  <c r="R7" i="156" s="1"/>
  <c r="J7" i="162"/>
  <c r="J7" i="160"/>
  <c r="J7" i="159"/>
  <c r="J9" i="156"/>
  <c r="R9" i="156" s="1"/>
  <c r="J9" i="160"/>
  <c r="J10" i="162"/>
  <c r="J9" i="159"/>
  <c r="J12" i="156"/>
  <c r="R12" i="156" s="1"/>
  <c r="J13" i="162"/>
  <c r="J12" i="160"/>
  <c r="J12" i="159"/>
  <c r="J10" i="156"/>
  <c r="R10" i="156" s="1"/>
  <c r="J10" i="160"/>
  <c r="J11" i="162"/>
  <c r="J10" i="159"/>
  <c r="J13" i="165"/>
  <c r="Z14" i="156"/>
  <c r="AD16" i="159"/>
  <c r="J12" i="165"/>
  <c r="J11" i="165"/>
  <c r="J7" i="165"/>
  <c r="Z16" i="156"/>
  <c r="AD15" i="159"/>
  <c r="R26" i="165"/>
  <c r="B26" i="33" s="1"/>
  <c r="R27" i="165"/>
  <c r="B27" i="33" s="1"/>
  <c r="R19" i="165"/>
  <c r="B19" i="33" s="1"/>
  <c r="Z18" i="156"/>
  <c r="R28" i="165"/>
  <c r="B28" i="33" s="1"/>
  <c r="Z21" i="156"/>
  <c r="R41" i="156"/>
  <c r="F39" i="165"/>
  <c r="J14" i="162"/>
  <c r="J13" i="156"/>
  <c r="R13" i="156" s="1"/>
  <c r="J13" i="160"/>
  <c r="J13" i="159"/>
  <c r="AD21" i="159"/>
  <c r="R41" i="159"/>
  <c r="AD23" i="159"/>
  <c r="Z29" i="165"/>
  <c r="Z15" i="156"/>
  <c r="R19" i="160"/>
  <c r="B40" i="160"/>
  <c r="B39" i="160"/>
  <c r="R20" i="162"/>
  <c r="J9" i="165"/>
  <c r="Z16" i="165"/>
  <c r="Z20" i="156"/>
  <c r="Z17" i="156"/>
  <c r="R25" i="165"/>
  <c r="B25" i="33" s="1"/>
  <c r="J8" i="165"/>
  <c r="AD20" i="159"/>
  <c r="Z20" i="165"/>
  <c r="J11" i="156"/>
  <c r="R11" i="156" s="1"/>
  <c r="J11" i="160"/>
  <c r="J12" i="162"/>
  <c r="J11" i="159"/>
  <c r="J8" i="162"/>
  <c r="J8" i="156"/>
  <c r="R8" i="156" s="1"/>
  <c r="J8" i="160"/>
  <c r="J9" i="162"/>
  <c r="J8" i="159"/>
  <c r="Z17" i="165"/>
  <c r="AD24" i="159"/>
  <c r="Z24" i="165"/>
  <c r="AD22" i="159"/>
  <c r="Z22" i="156"/>
  <c r="Z22" i="165"/>
  <c r="Z21" i="165"/>
  <c r="Z23" i="165"/>
  <c r="R41" i="160"/>
  <c r="AD14" i="159"/>
  <c r="Z24" i="156"/>
  <c r="R19" i="159"/>
  <c r="R8" i="159" l="1"/>
  <c r="R8" i="165"/>
  <c r="B8" i="33" s="1"/>
  <c r="R12" i="159"/>
  <c r="J21" i="33"/>
  <c r="J17" i="33"/>
  <c r="R11" i="159"/>
  <c r="J16" i="33"/>
  <c r="J24" i="33"/>
  <c r="J20" i="33"/>
  <c r="R9" i="165"/>
  <c r="B9" i="33" s="1"/>
  <c r="C8" i="191"/>
  <c r="C18" i="191" s="1"/>
  <c r="R13" i="159"/>
  <c r="C8" i="187"/>
  <c r="C18" i="187" s="1"/>
  <c r="R11" i="162"/>
  <c r="R13" i="162"/>
  <c r="J40" i="160"/>
  <c r="J39" i="160"/>
  <c r="R7" i="160"/>
  <c r="R10" i="165"/>
  <c r="B10" i="33" s="1"/>
  <c r="Z26" i="165"/>
  <c r="R9" i="159"/>
  <c r="R9" i="160"/>
  <c r="J40" i="159"/>
  <c r="J39" i="159"/>
  <c r="R7" i="159"/>
  <c r="J41" i="162"/>
  <c r="J40" i="162"/>
  <c r="R7" i="162"/>
  <c r="AD19" i="159"/>
  <c r="Z25" i="165"/>
  <c r="Z19" i="156"/>
  <c r="AD41" i="159"/>
  <c r="R13" i="160"/>
  <c r="J44" i="162"/>
  <c r="R14" i="162"/>
  <c r="Z41" i="156"/>
  <c r="R11" i="165"/>
  <c r="B11" i="33" s="1"/>
  <c r="R10" i="160"/>
  <c r="J40" i="156"/>
  <c r="J39" i="156"/>
  <c r="J22" i="33"/>
  <c r="R8" i="160"/>
  <c r="Z19" i="165"/>
  <c r="J39" i="165"/>
  <c r="R7" i="165"/>
  <c r="B7" i="33" s="1"/>
  <c r="J18" i="33"/>
  <c r="R8" i="162"/>
  <c r="J43" i="162"/>
  <c r="R12" i="162"/>
  <c r="J42" i="162"/>
  <c r="R9" i="162"/>
  <c r="R11" i="160"/>
  <c r="J23" i="33"/>
  <c r="Z28" i="165"/>
  <c r="Z27" i="165"/>
  <c r="R10" i="159"/>
  <c r="R12" i="160"/>
  <c r="R10" i="162"/>
  <c r="Z7" i="165" l="1"/>
  <c r="C24" i="191"/>
  <c r="C8" i="192"/>
  <c r="C18" i="192" s="1"/>
  <c r="J27" i="33"/>
  <c r="R43" i="162"/>
  <c r="N9" i="175" s="1"/>
  <c r="J26" i="33"/>
  <c r="J19" i="33"/>
  <c r="K8" i="187"/>
  <c r="K18" i="187" s="1"/>
  <c r="J25" i="33"/>
  <c r="Z8" i="156"/>
  <c r="Z12" i="156"/>
  <c r="AD12" i="159"/>
  <c r="Z11" i="165"/>
  <c r="AD10" i="159"/>
  <c r="J28" i="33"/>
  <c r="Z7" i="156"/>
  <c r="R39" i="156"/>
  <c r="R40" i="156"/>
  <c r="Z9" i="156"/>
  <c r="R44" i="162"/>
  <c r="R41" i="162"/>
  <c r="R40" i="162"/>
  <c r="P9" i="175" s="1"/>
  <c r="AD7" i="159"/>
  <c r="R39" i="159"/>
  <c r="R40" i="159"/>
  <c r="AD9" i="159"/>
  <c r="Z10" i="156"/>
  <c r="Z8" i="165"/>
  <c r="AD8" i="159"/>
  <c r="R42" i="162"/>
  <c r="Z11" i="156"/>
  <c r="Z13" i="156"/>
  <c r="O8" i="191"/>
  <c r="O18" i="191" s="1"/>
  <c r="Z10" i="165"/>
  <c r="R39" i="160"/>
  <c r="R40" i="160"/>
  <c r="C24" i="187"/>
  <c r="C8" i="194"/>
  <c r="C18" i="194" s="1"/>
  <c r="AD13" i="159"/>
  <c r="Z9" i="165"/>
  <c r="AD11" i="159"/>
  <c r="P20" i="175" l="1"/>
  <c r="P8" i="224"/>
  <c r="N20" i="175"/>
  <c r="N8" i="224"/>
  <c r="N19" i="224" s="1"/>
  <c r="N9" i="199"/>
  <c r="N20" i="199" s="1"/>
  <c r="O8" i="221"/>
  <c r="O18" i="221" s="1"/>
  <c r="M19" i="224"/>
  <c r="L19" i="224"/>
  <c r="E8" i="190"/>
  <c r="E18" i="190" s="1"/>
  <c r="O8" i="192"/>
  <c r="O18" i="192" s="1"/>
  <c r="O24" i="191"/>
  <c r="F9" i="175"/>
  <c r="AD40" i="159"/>
  <c r="AD39" i="159"/>
  <c r="J11" i="33"/>
  <c r="K8" i="194"/>
  <c r="K18" i="194" s="1"/>
  <c r="K24" i="187"/>
  <c r="J9" i="33"/>
  <c r="J7" i="33"/>
  <c r="B8" i="191"/>
  <c r="B18" i="191" s="1"/>
  <c r="C24" i="194"/>
  <c r="J8" i="33"/>
  <c r="E8" i="191"/>
  <c r="E18" i="191" s="1"/>
  <c r="B8" i="187"/>
  <c r="B18" i="187" s="1"/>
  <c r="Z39" i="156"/>
  <c r="Z40" i="156"/>
  <c r="B8" i="190"/>
  <c r="B18" i="190" s="1"/>
  <c r="J10" i="33"/>
  <c r="E8" i="187"/>
  <c r="E18" i="187" s="1"/>
  <c r="D9" i="175"/>
  <c r="C24" i="192"/>
  <c r="D20" i="175" l="1"/>
  <c r="D26" i="175" s="1"/>
  <c r="D8" i="224"/>
  <c r="F20" i="175"/>
  <c r="F8" i="224"/>
  <c r="F19" i="224" s="1"/>
  <c r="C18" i="223"/>
  <c r="B18" i="223"/>
  <c r="D18" i="223"/>
  <c r="N26" i="175"/>
  <c r="O19" i="224"/>
  <c r="B24" i="190"/>
  <c r="B8" i="221"/>
  <c r="C8" i="221"/>
  <c r="C18" i="221" s="1"/>
  <c r="E8" i="221"/>
  <c r="C19" i="224"/>
  <c r="P19" i="224"/>
  <c r="E19" i="224"/>
  <c r="P9" i="199"/>
  <c r="P20" i="199" s="1"/>
  <c r="F26" i="233"/>
  <c r="B26" i="233"/>
  <c r="D26" i="233"/>
  <c r="C26" i="233"/>
  <c r="E26" i="233"/>
  <c r="M8" i="187"/>
  <c r="M18" i="187" s="1"/>
  <c r="B8" i="192"/>
  <c r="B18" i="192" s="1"/>
  <c r="B24" i="191"/>
  <c r="B8" i="189"/>
  <c r="B18" i="189" s="1"/>
  <c r="E24" i="191"/>
  <c r="E8" i="192"/>
  <c r="E18" i="192" s="1"/>
  <c r="N8" i="191"/>
  <c r="N18" i="191" s="1"/>
  <c r="E8" i="189"/>
  <c r="E18" i="189" s="1"/>
  <c r="E24" i="190"/>
  <c r="E24" i="187"/>
  <c r="E8" i="194"/>
  <c r="E18" i="194" s="1"/>
  <c r="K24" i="194"/>
  <c r="J8" i="187"/>
  <c r="J18" i="187" s="1"/>
  <c r="B8" i="194"/>
  <c r="B18" i="194" s="1"/>
  <c r="B24" i="187"/>
  <c r="O24" i="192"/>
  <c r="F9" i="199"/>
  <c r="F20" i="199" s="1"/>
  <c r="F26" i="175"/>
  <c r="D9" i="199"/>
  <c r="D20" i="199" s="1"/>
  <c r="Q8" i="191"/>
  <c r="Q18" i="191" s="1"/>
  <c r="O8" i="222"/>
  <c r="O18" i="222" s="1"/>
  <c r="O24" i="221"/>
  <c r="E18" i="221" l="1"/>
  <c r="C8" i="242"/>
  <c r="B18" i="221"/>
  <c r="D19" i="224"/>
  <c r="D25" i="224" s="1"/>
  <c r="B19" i="224"/>
  <c r="B25" i="224" s="1"/>
  <c r="I18" i="223"/>
  <c r="H18" i="223"/>
  <c r="J18" i="223"/>
  <c r="N26" i="199"/>
  <c r="N8" i="221"/>
  <c r="N18" i="221" s="1"/>
  <c r="Q8" i="221"/>
  <c r="Q18" i="221" s="1"/>
  <c r="P26" i="175"/>
  <c r="L26" i="233"/>
  <c r="O26" i="233"/>
  <c r="D26" i="234"/>
  <c r="P26" i="233"/>
  <c r="C26" i="234"/>
  <c r="B26" i="234"/>
  <c r="N26" i="233"/>
  <c r="F26" i="234"/>
  <c r="M26" i="233"/>
  <c r="E26" i="234"/>
  <c r="C24" i="221"/>
  <c r="C8" i="222"/>
  <c r="C18" i="222" s="1"/>
  <c r="O24" i="222"/>
  <c r="F26" i="199"/>
  <c r="C25" i="224"/>
  <c r="C8" i="225"/>
  <c r="C19" i="225" s="1"/>
  <c r="B24" i="194"/>
  <c r="E24" i="192"/>
  <c r="M24" i="187"/>
  <c r="M8" i="194"/>
  <c r="M18" i="194" s="1"/>
  <c r="D26" i="199"/>
  <c r="J24" i="187"/>
  <c r="J8" i="194"/>
  <c r="J18" i="194" s="1"/>
  <c r="N8" i="192"/>
  <c r="N18" i="192" s="1"/>
  <c r="N24" i="191"/>
  <c r="D8" i="225"/>
  <c r="D19" i="225" s="1"/>
  <c r="E24" i="221"/>
  <c r="E8" i="222"/>
  <c r="E18" i="222" s="1"/>
  <c r="B8" i="225"/>
  <c r="B19" i="225" s="1"/>
  <c r="B24" i="192"/>
  <c r="Q8" i="192"/>
  <c r="Q18" i="192" s="1"/>
  <c r="Q24" i="191"/>
  <c r="D24" i="223"/>
  <c r="D8" i="220"/>
  <c r="D18" i="220" s="1"/>
  <c r="E24" i="194"/>
  <c r="F25" i="224"/>
  <c r="F8" i="225"/>
  <c r="F19" i="225" s="1"/>
  <c r="B8" i="222"/>
  <c r="B18" i="222" s="1"/>
  <c r="E24" i="189"/>
  <c r="B8" i="220"/>
  <c r="B18" i="220" s="1"/>
  <c r="B24" i="223"/>
  <c r="E8" i="225"/>
  <c r="E19" i="225" s="1"/>
  <c r="E25" i="224"/>
  <c r="B24" i="189"/>
  <c r="C24" i="223"/>
  <c r="C8" i="220"/>
  <c r="C18" i="220" s="1"/>
  <c r="C8" i="243" l="1"/>
  <c r="C18" i="242"/>
  <c r="I8" i="242"/>
  <c r="P26" i="199"/>
  <c r="N26" i="234"/>
  <c r="L26" i="234"/>
  <c r="M26" i="234"/>
  <c r="O26" i="234"/>
  <c r="P26" i="234"/>
  <c r="C24" i="220"/>
  <c r="B24" i="220"/>
  <c r="H24" i="223"/>
  <c r="H8" i="220"/>
  <c r="H18" i="220" s="1"/>
  <c r="E24" i="222"/>
  <c r="D25" i="225"/>
  <c r="N24" i="192"/>
  <c r="J24" i="194"/>
  <c r="M24" i="194"/>
  <c r="M25" i="224"/>
  <c r="M8" i="225"/>
  <c r="M19" i="225" s="1"/>
  <c r="E25" i="225"/>
  <c r="O8" i="225"/>
  <c r="O19" i="225" s="1"/>
  <c r="O25" i="224"/>
  <c r="B25" i="225"/>
  <c r="L8" i="225"/>
  <c r="L19" i="225" s="1"/>
  <c r="L25" i="224"/>
  <c r="C25" i="225"/>
  <c r="J8" i="220"/>
  <c r="J18" i="220" s="1"/>
  <c r="J24" i="223"/>
  <c r="F25" i="225"/>
  <c r="D24" i="220"/>
  <c r="Q24" i="192"/>
  <c r="C24" i="222"/>
  <c r="B24" i="222"/>
  <c r="I8" i="220"/>
  <c r="I18" i="220" s="1"/>
  <c r="I24" i="223"/>
  <c r="N8" i="222"/>
  <c r="N18" i="222" s="1"/>
  <c r="N24" i="221"/>
  <c r="Q24" i="221"/>
  <c r="Q8" i="222"/>
  <c r="Q18" i="222" s="1"/>
  <c r="N8" i="225"/>
  <c r="N19" i="225" s="1"/>
  <c r="N25" i="224"/>
  <c r="P25" i="224"/>
  <c r="P8" i="225"/>
  <c r="P19" i="225" s="1"/>
  <c r="I8" i="243" l="1"/>
  <c r="I18" i="242"/>
  <c r="C24" i="242"/>
  <c r="C18" i="243"/>
  <c r="O25" i="225"/>
  <c r="M25" i="225"/>
  <c r="H24" i="220"/>
  <c r="P25" i="225"/>
  <c r="N25" i="225"/>
  <c r="N24" i="222"/>
  <c r="Q24" i="222"/>
  <c r="J24" i="220"/>
  <c r="I24" i="220"/>
  <c r="L25" i="225"/>
  <c r="I24" i="242" l="1"/>
  <c r="C24" i="243"/>
  <c r="I18" i="243"/>
  <c r="I24" i="243" l="1"/>
  <c r="L33" i="184" l="1"/>
  <c r="G33" i="184"/>
  <c r="I33" i="184"/>
  <c r="H33" i="184"/>
  <c r="H33" i="222" l="1"/>
  <c r="P33" i="222"/>
  <c r="C15" i="165" l="1"/>
  <c r="C15" i="162"/>
  <c r="C14" i="160"/>
  <c r="C14" i="159"/>
  <c r="E14" i="79"/>
  <c r="C16" i="162"/>
  <c r="E16" i="162" s="1"/>
  <c r="C15" i="160"/>
  <c r="E15" i="160" s="1"/>
  <c r="C15" i="159"/>
  <c r="E15" i="159" s="1"/>
  <c r="E15" i="79"/>
  <c r="C14" i="165"/>
  <c r="E14" i="160" l="1"/>
  <c r="E15" i="162"/>
  <c r="E14" i="159"/>
  <c r="U30" i="79" l="1"/>
  <c r="W30" i="156"/>
  <c r="W30" i="159"/>
  <c r="C29" i="41"/>
  <c r="E29" i="41" s="1"/>
  <c r="W12" i="165" l="1"/>
  <c r="U12" i="164"/>
  <c r="W28" i="165"/>
  <c r="U28" i="164"/>
  <c r="W8" i="165"/>
  <c r="U8" i="164"/>
  <c r="W16" i="165"/>
  <c r="U16" i="164"/>
  <c r="W24" i="165"/>
  <c r="U24" i="164"/>
  <c r="W10" i="165"/>
  <c r="U10" i="164"/>
  <c r="W19" i="165"/>
  <c r="U19" i="164"/>
  <c r="W9" i="165"/>
  <c r="U9" i="164"/>
  <c r="W17" i="165"/>
  <c r="U17" i="164"/>
  <c r="W25" i="165"/>
  <c r="U25" i="164"/>
  <c r="W14" i="156"/>
  <c r="Y14" i="156" s="1"/>
  <c r="W14" i="159"/>
  <c r="Y14" i="159" s="1"/>
  <c r="C13" i="41"/>
  <c r="E13" i="41" s="1"/>
  <c r="U14" i="79"/>
  <c r="W26" i="165"/>
  <c r="U26" i="164"/>
  <c r="W23" i="156"/>
  <c r="Y23" i="156" s="1"/>
  <c r="W23" i="159"/>
  <c r="Y23" i="159" s="1"/>
  <c r="C22" i="41"/>
  <c r="E22" i="41" s="1"/>
  <c r="U23" i="79"/>
  <c r="W8" i="156"/>
  <c r="Y8" i="156" s="1"/>
  <c r="W8" i="159"/>
  <c r="Y8" i="159" s="1"/>
  <c r="C7" i="41"/>
  <c r="E7" i="41" s="1"/>
  <c r="U8" i="79"/>
  <c r="W16" i="156"/>
  <c r="Y16" i="156" s="1"/>
  <c r="W16" i="159"/>
  <c r="Y16" i="159" s="1"/>
  <c r="C15" i="41"/>
  <c r="U16" i="79"/>
  <c r="C23" i="41"/>
  <c r="E23" i="41" s="1"/>
  <c r="W24" i="159"/>
  <c r="Y24" i="159" s="1"/>
  <c r="W24" i="156"/>
  <c r="Y24" i="156" s="1"/>
  <c r="U24" i="79"/>
  <c r="C9" i="41"/>
  <c r="W10" i="156"/>
  <c r="W10" i="159"/>
  <c r="Y10" i="159" s="1"/>
  <c r="U10" i="79"/>
  <c r="C18" i="41"/>
  <c r="E18" i="41" s="1"/>
  <c r="W19" i="159"/>
  <c r="Y19" i="159" s="1"/>
  <c r="W19" i="156"/>
  <c r="Y19" i="156" s="1"/>
  <c r="U19" i="79"/>
  <c r="W9" i="159"/>
  <c r="Y9" i="159" s="1"/>
  <c r="C8" i="41"/>
  <c r="E8" i="41" s="1"/>
  <c r="W9" i="156"/>
  <c r="Y9" i="156" s="1"/>
  <c r="U9" i="79"/>
  <c r="W17" i="156"/>
  <c r="Y17" i="156" s="1"/>
  <c r="W17" i="159"/>
  <c r="Y17" i="159" s="1"/>
  <c r="C16" i="41"/>
  <c r="E16" i="41" s="1"/>
  <c r="U17" i="79"/>
  <c r="W25" i="156"/>
  <c r="Y25" i="156" s="1"/>
  <c r="W25" i="159"/>
  <c r="Y25" i="159" s="1"/>
  <c r="C24" i="41"/>
  <c r="E24" i="41" s="1"/>
  <c r="U25" i="79"/>
  <c r="W14" i="165"/>
  <c r="U14" i="164"/>
  <c r="W26" i="156"/>
  <c r="Y26" i="156" s="1"/>
  <c r="C25" i="41"/>
  <c r="E25" i="41" s="1"/>
  <c r="W26" i="159"/>
  <c r="Y26" i="159" s="1"/>
  <c r="U26" i="79"/>
  <c r="W23" i="165"/>
  <c r="U23" i="164"/>
  <c r="W20" i="156"/>
  <c r="Y20" i="156" s="1"/>
  <c r="W20" i="159"/>
  <c r="Y20" i="159" s="1"/>
  <c r="C19" i="41"/>
  <c r="E19" i="41" s="1"/>
  <c r="U20" i="79"/>
  <c r="W18" i="165"/>
  <c r="U18" i="164"/>
  <c r="Y30" i="159"/>
  <c r="C10" i="41"/>
  <c r="E10" i="41" s="1"/>
  <c r="W11" i="159"/>
  <c r="Y11" i="159" s="1"/>
  <c r="W11" i="156"/>
  <c r="Y11" i="156" s="1"/>
  <c r="U11" i="79"/>
  <c r="W27" i="165"/>
  <c r="U27" i="164"/>
  <c r="W13" i="165"/>
  <c r="U13" i="164"/>
  <c r="C20" i="41"/>
  <c r="W21" i="156"/>
  <c r="W21" i="159"/>
  <c r="U21" i="79"/>
  <c r="W29" i="165"/>
  <c r="U29" i="164"/>
  <c r="W22" i="156"/>
  <c r="Y22" i="156" s="1"/>
  <c r="W22" i="159"/>
  <c r="Y22" i="159" s="1"/>
  <c r="C21" i="41"/>
  <c r="U22" i="79"/>
  <c r="W15" i="159"/>
  <c r="Y15" i="159" s="1"/>
  <c r="W15" i="156"/>
  <c r="Y15" i="156" s="1"/>
  <c r="C14" i="41"/>
  <c r="E14" i="41" s="1"/>
  <c r="U15" i="79"/>
  <c r="C6" i="41"/>
  <c r="W7" i="156"/>
  <c r="W7" i="159"/>
  <c r="U7" i="79"/>
  <c r="C11" i="41"/>
  <c r="E11" i="41" s="1"/>
  <c r="W12" i="159"/>
  <c r="Y12" i="159" s="1"/>
  <c r="W12" i="156"/>
  <c r="Y12" i="156" s="1"/>
  <c r="U12" i="79"/>
  <c r="W20" i="165"/>
  <c r="U20" i="164"/>
  <c r="C27" i="41"/>
  <c r="E27" i="41" s="1"/>
  <c r="W28" i="159"/>
  <c r="Y28" i="159" s="1"/>
  <c r="W28" i="156"/>
  <c r="Y28" i="156" s="1"/>
  <c r="U28" i="79"/>
  <c r="W18" i="156"/>
  <c r="Y18" i="156" s="1"/>
  <c r="W18" i="159"/>
  <c r="Y18" i="159" s="1"/>
  <c r="C17" i="41"/>
  <c r="E17" i="41" s="1"/>
  <c r="U18" i="79"/>
  <c r="Y30" i="156"/>
  <c r="AA30" i="156"/>
  <c r="AC30" i="156" s="1"/>
  <c r="W11" i="165"/>
  <c r="U11" i="164"/>
  <c r="W27" i="159"/>
  <c r="Y27" i="159" s="1"/>
  <c r="W27" i="156"/>
  <c r="Y27" i="156" s="1"/>
  <c r="C26" i="41"/>
  <c r="E26" i="41" s="1"/>
  <c r="U27" i="79"/>
  <c r="W13" i="156"/>
  <c r="Y13" i="156" s="1"/>
  <c r="W13" i="159"/>
  <c r="Y13" i="159" s="1"/>
  <c r="C12" i="41"/>
  <c r="E12" i="41" s="1"/>
  <c r="U13" i="79"/>
  <c r="W21" i="165"/>
  <c r="U21" i="164"/>
  <c r="W29" i="156"/>
  <c r="Y29" i="156" s="1"/>
  <c r="W29" i="159"/>
  <c r="Y29" i="159" s="1"/>
  <c r="C28" i="41"/>
  <c r="E28" i="41" s="1"/>
  <c r="U29" i="79"/>
  <c r="W22" i="165"/>
  <c r="U22" i="164"/>
  <c r="W15" i="165"/>
  <c r="U15" i="164"/>
  <c r="W7" i="165"/>
  <c r="U7" i="164"/>
  <c r="Y10" i="156" l="1"/>
  <c r="Y11" i="165"/>
  <c r="W40" i="156"/>
  <c r="Y7" i="156"/>
  <c r="Y29" i="165"/>
  <c r="Y21" i="159"/>
  <c r="Y13" i="165"/>
  <c r="E15" i="41"/>
  <c r="Y25" i="165"/>
  <c r="W39" i="165"/>
  <c r="Y39" i="165" s="1"/>
  <c r="Y41" i="165" s="1"/>
  <c r="Y7" i="165"/>
  <c r="C39" i="41"/>
  <c r="E6" i="41"/>
  <c r="E21" i="41"/>
  <c r="Y26" i="165"/>
  <c r="Y9" i="165"/>
  <c r="Y19" i="165"/>
  <c r="Y8" i="165"/>
  <c r="Y28" i="165"/>
  <c r="Y15" i="165"/>
  <c r="Y21" i="165"/>
  <c r="Y21" i="156"/>
  <c r="E20" i="41"/>
  <c r="Y23" i="165"/>
  <c r="Y14" i="165"/>
  <c r="E9" i="41"/>
  <c r="Y17" i="165"/>
  <c r="Y10" i="165"/>
  <c r="Y24" i="165"/>
  <c r="Y16" i="165"/>
  <c r="Y22" i="165"/>
  <c r="Y20" i="165"/>
  <c r="W40" i="159"/>
  <c r="Y7" i="159"/>
  <c r="Y27" i="165"/>
  <c r="Y18" i="165"/>
  <c r="Y12" i="165"/>
  <c r="E39" i="41" l="1"/>
  <c r="E44" i="41" s="1"/>
  <c r="F9" i="187"/>
  <c r="F19" i="187" s="1"/>
  <c r="Y40" i="156"/>
  <c r="Y45" i="156" s="1"/>
  <c r="F9" i="191"/>
  <c r="F19" i="191" s="1"/>
  <c r="Y40" i="159"/>
  <c r="Y45" i="159" s="1"/>
  <c r="F9" i="221" l="1"/>
  <c r="F19" i="221" s="1"/>
  <c r="F9" i="192"/>
  <c r="F19" i="192" s="1"/>
  <c r="F12" i="191"/>
  <c r="F9" i="194"/>
  <c r="F19" i="194" s="1"/>
  <c r="F12" i="187"/>
  <c r="F22" i="187" l="1"/>
  <c r="F25" i="187"/>
  <c r="F27" i="187" s="1"/>
  <c r="F22" i="191"/>
  <c r="F25" i="191"/>
  <c r="F27" i="191" s="1"/>
  <c r="F9" i="222"/>
  <c r="F19" i="222" s="1"/>
  <c r="F12" i="221"/>
  <c r="F12" i="194"/>
  <c r="F12" i="192"/>
  <c r="F22" i="221" l="1"/>
  <c r="F25" i="221"/>
  <c r="F27" i="221" s="1"/>
  <c r="F22" i="192"/>
  <c r="F25" i="192"/>
  <c r="F27" i="192" s="1"/>
  <c r="F22" i="194"/>
  <c r="F25" i="194"/>
  <c r="F27" i="194" s="1"/>
  <c r="F12" i="222"/>
  <c r="F22" i="222" l="1"/>
  <c r="F25" i="222"/>
  <c r="F27" i="222" s="1"/>
  <c r="U37" i="79"/>
  <c r="C36" i="41"/>
  <c r="E36" i="41" s="1"/>
  <c r="W37" i="159"/>
  <c r="W37" i="156"/>
  <c r="U33" i="79"/>
  <c r="W33" i="156"/>
  <c r="W33" i="159"/>
  <c r="C32" i="41"/>
  <c r="E32" i="41" s="1"/>
  <c r="U34" i="79"/>
  <c r="W34" i="156"/>
  <c r="W34" i="159"/>
  <c r="Y34" i="159" s="1"/>
  <c r="C33" i="41"/>
  <c r="E33" i="41" s="1"/>
  <c r="U31" i="79"/>
  <c r="C30" i="41"/>
  <c r="W31" i="156"/>
  <c r="W31" i="159"/>
  <c r="U32" i="79"/>
  <c r="C31" i="41"/>
  <c r="E31" i="41" s="1"/>
  <c r="W32" i="159"/>
  <c r="W32" i="156"/>
  <c r="U35" i="79"/>
  <c r="W35" i="159"/>
  <c r="W35" i="156"/>
  <c r="C34" i="41"/>
  <c r="U36" i="79"/>
  <c r="W36" i="159"/>
  <c r="Y36" i="159" s="1"/>
  <c r="C35" i="41"/>
  <c r="E35" i="41" s="1"/>
  <c r="W36" i="156"/>
  <c r="C21" i="244" l="1"/>
  <c r="B28" i="244"/>
  <c r="F21" i="244"/>
  <c r="Y37" i="159"/>
  <c r="Y31" i="156"/>
  <c r="AA31" i="156"/>
  <c r="AC31" i="156" s="1"/>
  <c r="W39" i="156"/>
  <c r="W41" i="156"/>
  <c r="O18" i="160"/>
  <c r="Q18" i="160" s="1"/>
  <c r="O18" i="156"/>
  <c r="Q18" i="156" s="1"/>
  <c r="O18" i="159"/>
  <c r="Q18" i="159" s="1"/>
  <c r="O19" i="162"/>
  <c r="Q19" i="162" s="1"/>
  <c r="Q18" i="79"/>
  <c r="AA33" i="156"/>
  <c r="AC33" i="156" s="1"/>
  <c r="Y33" i="156"/>
  <c r="AA37" i="156"/>
  <c r="AC37" i="156" s="1"/>
  <c r="Y37" i="156"/>
  <c r="C41" i="41"/>
  <c r="E41" i="41" s="1"/>
  <c r="E46" i="41" s="1"/>
  <c r="E34" i="41"/>
  <c r="K15" i="156"/>
  <c r="M15" i="156" s="1"/>
  <c r="K15" i="160"/>
  <c r="M15" i="160" s="1"/>
  <c r="K16" i="162"/>
  <c r="M16" i="162" s="1"/>
  <c r="K15" i="159"/>
  <c r="M15" i="159" s="1"/>
  <c r="M15" i="79"/>
  <c r="AA32" i="156"/>
  <c r="AC32" i="156" s="1"/>
  <c r="Y32" i="156"/>
  <c r="O18" i="165"/>
  <c r="Q18" i="165" s="1"/>
  <c r="Q18" i="164"/>
  <c r="C28" i="165"/>
  <c r="E28" i="165" s="1"/>
  <c r="K28" i="165"/>
  <c r="M28" i="165" s="1"/>
  <c r="G28" i="165"/>
  <c r="I28" i="165" s="1"/>
  <c r="M28" i="164"/>
  <c r="C28" i="162"/>
  <c r="G27" i="156"/>
  <c r="K27" i="156"/>
  <c r="M27" i="156" s="1"/>
  <c r="G27" i="159"/>
  <c r="I27" i="159" s="1"/>
  <c r="G27" i="160"/>
  <c r="I27" i="160" s="1"/>
  <c r="G28" i="162"/>
  <c r="I28" i="162" s="1"/>
  <c r="K27" i="160"/>
  <c r="M27" i="160" s="1"/>
  <c r="K27" i="159"/>
  <c r="M27" i="159" s="1"/>
  <c r="C27" i="159"/>
  <c r="C27" i="160"/>
  <c r="K28" i="162"/>
  <c r="M28" i="162" s="1"/>
  <c r="M27" i="79"/>
  <c r="AA36" i="156"/>
  <c r="AC36" i="156" s="1"/>
  <c r="Y36" i="156"/>
  <c r="W42" i="156"/>
  <c r="Y42" i="156" s="1"/>
  <c r="Y47" i="156" s="1"/>
  <c r="AA35" i="156"/>
  <c r="Y35" i="156"/>
  <c r="K15" i="165"/>
  <c r="M15" i="165" s="1"/>
  <c r="M15" i="164"/>
  <c r="K28" i="160"/>
  <c r="M28" i="160" s="1"/>
  <c r="G28" i="156"/>
  <c r="C29" i="162"/>
  <c r="G28" i="159"/>
  <c r="I28" i="159" s="1"/>
  <c r="G29" i="162"/>
  <c r="I29" i="162" s="1"/>
  <c r="K29" i="162"/>
  <c r="M29" i="162" s="1"/>
  <c r="C28" i="160"/>
  <c r="K28" i="156"/>
  <c r="M28" i="156" s="1"/>
  <c r="C28" i="159"/>
  <c r="K28" i="159"/>
  <c r="M28" i="159" s="1"/>
  <c r="G28" i="160"/>
  <c r="I28" i="160" s="1"/>
  <c r="M28" i="79"/>
  <c r="AA34" i="156"/>
  <c r="AC34" i="156" s="1"/>
  <c r="Y34" i="156"/>
  <c r="O15" i="165"/>
  <c r="Q15" i="165" s="1"/>
  <c r="Q15" i="164"/>
  <c r="K27" i="165"/>
  <c r="M27" i="165" s="1"/>
  <c r="C27" i="165"/>
  <c r="E27" i="165" s="1"/>
  <c r="G27" i="165"/>
  <c r="I27" i="165" s="1"/>
  <c r="M27" i="164"/>
  <c r="O16" i="156"/>
  <c r="Q16" i="156" s="1"/>
  <c r="O16" i="160"/>
  <c r="Q16" i="160" s="1"/>
  <c r="O16" i="159"/>
  <c r="Q16" i="159" s="1"/>
  <c r="O17" i="162"/>
  <c r="Q17" i="162" s="1"/>
  <c r="Q16" i="79"/>
  <c r="O19" i="160"/>
  <c r="Q19" i="160" s="1"/>
  <c r="O19" i="159"/>
  <c r="Q19" i="159" s="1"/>
  <c r="O19" i="156"/>
  <c r="Q19" i="156" s="1"/>
  <c r="O20" i="162"/>
  <c r="Q20" i="162" s="1"/>
  <c r="Q19" i="79"/>
  <c r="O17" i="165"/>
  <c r="Q17" i="165" s="1"/>
  <c r="Q17" i="164"/>
  <c r="C19" i="159"/>
  <c r="K20" i="162"/>
  <c r="M20" i="162" s="1"/>
  <c r="K19" i="159"/>
  <c r="M19" i="159" s="1"/>
  <c r="G19" i="160"/>
  <c r="I19" i="160" s="1"/>
  <c r="K19" i="156"/>
  <c r="M19" i="156" s="1"/>
  <c r="K19" i="160"/>
  <c r="M19" i="160" s="1"/>
  <c r="G19" i="159"/>
  <c r="I19" i="159" s="1"/>
  <c r="G19" i="156"/>
  <c r="C19" i="160"/>
  <c r="G20" i="162"/>
  <c r="I20" i="162" s="1"/>
  <c r="C20" i="162"/>
  <c r="M19" i="79"/>
  <c r="W42" i="159"/>
  <c r="Y35" i="159"/>
  <c r="Y32" i="159"/>
  <c r="O16" i="162"/>
  <c r="Q16" i="162" s="1"/>
  <c r="O15" i="159"/>
  <c r="Q15" i="159" s="1"/>
  <c r="O15" i="156"/>
  <c r="Q15" i="156" s="1"/>
  <c r="O15" i="160"/>
  <c r="Q15" i="160" s="1"/>
  <c r="Q15" i="79"/>
  <c r="O16" i="165"/>
  <c r="Q16" i="165" s="1"/>
  <c r="Q16" i="164"/>
  <c r="Y31" i="159"/>
  <c r="W41" i="159"/>
  <c r="W39" i="159"/>
  <c r="E30" i="41"/>
  <c r="C40" i="41"/>
  <c r="C38" i="41"/>
  <c r="Y33" i="159"/>
  <c r="O18" i="162"/>
  <c r="Q18" i="162" s="1"/>
  <c r="O17" i="156"/>
  <c r="Q17" i="156" s="1"/>
  <c r="O17" i="160"/>
  <c r="Q17" i="160" s="1"/>
  <c r="O17" i="159"/>
  <c r="Q17" i="159" s="1"/>
  <c r="Q17" i="79"/>
  <c r="G19" i="165"/>
  <c r="I19" i="165" s="1"/>
  <c r="C19" i="165"/>
  <c r="K19" i="165"/>
  <c r="M19" i="165" s="1"/>
  <c r="M19" i="164"/>
  <c r="O19" i="165"/>
  <c r="Q19" i="165" s="1"/>
  <c r="Q19" i="164"/>
  <c r="S19" i="156" l="1"/>
  <c r="C9" i="193"/>
  <c r="C19" i="193" s="1"/>
  <c r="E40" i="41"/>
  <c r="E45" i="41" s="1"/>
  <c r="G9" i="191"/>
  <c r="G19" i="191" s="1"/>
  <c r="Y41" i="159"/>
  <c r="Y46" i="159" s="1"/>
  <c r="G17" i="165"/>
  <c r="I17" i="165" s="1"/>
  <c r="I17" i="164"/>
  <c r="Y42" i="159"/>
  <c r="Y47" i="159" s="1"/>
  <c r="S19" i="160"/>
  <c r="U19" i="160" s="1"/>
  <c r="E19" i="160"/>
  <c r="S19" i="159"/>
  <c r="E19" i="159"/>
  <c r="C17" i="165"/>
  <c r="K17" i="165"/>
  <c r="M17" i="165" s="1"/>
  <c r="M17" i="164"/>
  <c r="E28" i="160"/>
  <c r="C10" i="160"/>
  <c r="C11" i="162"/>
  <c r="C10" i="159"/>
  <c r="E10" i="79"/>
  <c r="E27" i="160"/>
  <c r="I27" i="156"/>
  <c r="S19" i="165"/>
  <c r="C19" i="33" s="1"/>
  <c r="E19" i="33" s="1"/>
  <c r="E19" i="165"/>
  <c r="G17" i="160"/>
  <c r="I17" i="160" s="1"/>
  <c r="G17" i="159"/>
  <c r="I17" i="159" s="1"/>
  <c r="G18" i="162"/>
  <c r="I18" i="162" s="1"/>
  <c r="I17" i="79"/>
  <c r="K10" i="156"/>
  <c r="M10" i="156" s="1"/>
  <c r="K10" i="159"/>
  <c r="M10" i="159" s="1"/>
  <c r="K10" i="160"/>
  <c r="M10" i="160" s="1"/>
  <c r="K11" i="162"/>
  <c r="M11" i="162" s="1"/>
  <c r="M10" i="79"/>
  <c r="E28" i="159"/>
  <c r="C10" i="165"/>
  <c r="E10" i="164"/>
  <c r="E27" i="159"/>
  <c r="E28" i="162"/>
  <c r="E9" i="193"/>
  <c r="E19" i="193" s="1"/>
  <c r="E38" i="41"/>
  <c r="E43" i="41" s="1"/>
  <c r="K10" i="165"/>
  <c r="M10" i="165" s="1"/>
  <c r="M10" i="164"/>
  <c r="S20" i="162"/>
  <c r="U20" i="162" s="1"/>
  <c r="E20" i="162"/>
  <c r="I19" i="156"/>
  <c r="E29" i="162"/>
  <c r="O10" i="160"/>
  <c r="Q10" i="160" s="1"/>
  <c r="O10" i="159"/>
  <c r="Q10" i="159" s="1"/>
  <c r="O10" i="156"/>
  <c r="Q10" i="156" s="1"/>
  <c r="O11" i="162"/>
  <c r="Q11" i="162" s="1"/>
  <c r="Q10" i="79"/>
  <c r="G9" i="187"/>
  <c r="G19" i="187" s="1"/>
  <c r="Y41" i="156"/>
  <c r="Y46" i="156" s="1"/>
  <c r="G10" i="165"/>
  <c r="I10" i="165" s="1"/>
  <c r="I10" i="164"/>
  <c r="I9" i="191"/>
  <c r="I19" i="191" s="1"/>
  <c r="Y39" i="159"/>
  <c r="Y44" i="159" s="1"/>
  <c r="C17" i="160"/>
  <c r="K17" i="156"/>
  <c r="K18" i="162"/>
  <c r="M18" i="162" s="1"/>
  <c r="K17" i="159"/>
  <c r="M17" i="159" s="1"/>
  <c r="C18" i="162"/>
  <c r="C17" i="159"/>
  <c r="K17" i="160"/>
  <c r="M17" i="160" s="1"/>
  <c r="M17" i="79"/>
  <c r="I28" i="156"/>
  <c r="AA42" i="156"/>
  <c r="AC42" i="156" s="1"/>
  <c r="AC47" i="156" s="1"/>
  <c r="AC35" i="156"/>
  <c r="O10" i="165"/>
  <c r="Q10" i="165" s="1"/>
  <c r="Q10" i="164"/>
  <c r="I9" i="187"/>
  <c r="I19" i="187" s="1"/>
  <c r="Y39" i="156"/>
  <c r="Y44" i="156" s="1"/>
  <c r="G10" i="156"/>
  <c r="G10" i="159"/>
  <c r="I10" i="159" s="1"/>
  <c r="G10" i="160"/>
  <c r="I10" i="160" s="1"/>
  <c r="G11" i="162"/>
  <c r="I11" i="162" s="1"/>
  <c r="I10" i="79"/>
  <c r="S10" i="156" l="1"/>
  <c r="M17" i="156"/>
  <c r="S17" i="156"/>
  <c r="I9" i="221"/>
  <c r="G9" i="221"/>
  <c r="G19" i="221" s="1"/>
  <c r="S11" i="162"/>
  <c r="U11" i="162" s="1"/>
  <c r="E11" i="162"/>
  <c r="I10" i="156"/>
  <c r="S17" i="159"/>
  <c r="E17" i="159"/>
  <c r="I17" i="156"/>
  <c r="S17" i="160"/>
  <c r="U17" i="160" s="1"/>
  <c r="E17" i="160"/>
  <c r="E9" i="184"/>
  <c r="E19" i="184" s="1"/>
  <c r="E12" i="193"/>
  <c r="S10" i="165"/>
  <c r="C10" i="33" s="1"/>
  <c r="E10" i="33" s="1"/>
  <c r="E10" i="165"/>
  <c r="AA19" i="165"/>
  <c r="AC19" i="165" s="1"/>
  <c r="U19" i="165"/>
  <c r="O21" i="165"/>
  <c r="Q21" i="165" s="1"/>
  <c r="Q21" i="164"/>
  <c r="G9" i="192"/>
  <c r="G19" i="192" s="1"/>
  <c r="G12" i="191"/>
  <c r="S17" i="165"/>
  <c r="C17" i="33" s="1"/>
  <c r="E17" i="33" s="1"/>
  <c r="E17" i="165"/>
  <c r="AA19" i="156"/>
  <c r="AC19" i="156" s="1"/>
  <c r="U19" i="156"/>
  <c r="C21" i="159"/>
  <c r="C22" i="162"/>
  <c r="G21" i="159"/>
  <c r="C21" i="160"/>
  <c r="G22" i="162"/>
  <c r="I22" i="162" s="1"/>
  <c r="G21" i="160"/>
  <c r="K21" i="159"/>
  <c r="G21" i="156"/>
  <c r="K21" i="160"/>
  <c r="K21" i="156"/>
  <c r="K22" i="162"/>
  <c r="M22" i="162" s="1"/>
  <c r="M21" i="79"/>
  <c r="S10" i="159"/>
  <c r="E10" i="159"/>
  <c r="O21" i="156"/>
  <c r="O21" i="160"/>
  <c r="O22" i="162"/>
  <c r="Q22" i="162" s="1"/>
  <c r="O21" i="159"/>
  <c r="Q21" i="79"/>
  <c r="S10" i="160"/>
  <c r="U10" i="160" s="1"/>
  <c r="E10" i="160"/>
  <c r="I9" i="194"/>
  <c r="I19" i="194" s="1"/>
  <c r="I12" i="187"/>
  <c r="S18" i="162"/>
  <c r="U18" i="162" s="1"/>
  <c r="E18" i="162"/>
  <c r="I9" i="192"/>
  <c r="I19" i="192" s="1"/>
  <c r="I12" i="191"/>
  <c r="G9" i="194"/>
  <c r="G19" i="194" s="1"/>
  <c r="G12" i="187"/>
  <c r="G21" i="165"/>
  <c r="I21" i="165" s="1"/>
  <c r="K21" i="165"/>
  <c r="M21" i="165" s="1"/>
  <c r="C21" i="165"/>
  <c r="M21" i="164"/>
  <c r="U19" i="159"/>
  <c r="C9" i="184"/>
  <c r="C19" i="184" s="1"/>
  <c r="C12" i="193"/>
  <c r="I19" i="221" l="1"/>
  <c r="F9" i="242"/>
  <c r="G9" i="242" s="1"/>
  <c r="G19" i="242" s="1"/>
  <c r="S21" i="156"/>
  <c r="C22" i="193"/>
  <c r="C25" i="193"/>
  <c r="C27" i="193" s="1"/>
  <c r="G22" i="187"/>
  <c r="G25" i="187"/>
  <c r="G27" i="187" s="1"/>
  <c r="I22" i="187"/>
  <c r="I25" i="187"/>
  <c r="I27" i="187" s="1"/>
  <c r="E22" i="193"/>
  <c r="E25" i="193"/>
  <c r="E27" i="193" s="1"/>
  <c r="I22" i="191"/>
  <c r="I25" i="191"/>
  <c r="I27" i="191" s="1"/>
  <c r="G22" i="191"/>
  <c r="G25" i="191"/>
  <c r="G27" i="191" s="1"/>
  <c r="I12" i="192"/>
  <c r="M21" i="159"/>
  <c r="S21" i="160"/>
  <c r="E21" i="160"/>
  <c r="I21" i="159"/>
  <c r="S21" i="159"/>
  <c r="E21" i="159"/>
  <c r="G12" i="192"/>
  <c r="H9" i="222"/>
  <c r="H19" i="222" s="1"/>
  <c r="K19" i="33"/>
  <c r="M19" i="33" s="1"/>
  <c r="C12" i="184"/>
  <c r="S21" i="165"/>
  <c r="C21" i="33" s="1"/>
  <c r="E21" i="33" s="1"/>
  <c r="E21" i="165"/>
  <c r="G12" i="194"/>
  <c r="I12" i="194"/>
  <c r="Q21" i="160"/>
  <c r="U10" i="159"/>
  <c r="I21" i="160"/>
  <c r="G9" i="222"/>
  <c r="G19" i="222" s="1"/>
  <c r="G12" i="221"/>
  <c r="AA10" i="165"/>
  <c r="U10" i="165"/>
  <c r="AA17" i="156"/>
  <c r="AC17" i="156" s="1"/>
  <c r="U17" i="156"/>
  <c r="U17" i="159"/>
  <c r="AA10" i="156"/>
  <c r="AC10" i="156" s="1"/>
  <c r="U10" i="156"/>
  <c r="Q21" i="159"/>
  <c r="Q21" i="156"/>
  <c r="M21" i="156"/>
  <c r="I21" i="156"/>
  <c r="AA17" i="165"/>
  <c r="AC17" i="165" s="1"/>
  <c r="U17" i="165"/>
  <c r="M21" i="160"/>
  <c r="S22" i="162"/>
  <c r="U22" i="162" s="1"/>
  <c r="E22" i="162"/>
  <c r="E12" i="184"/>
  <c r="I9" i="222"/>
  <c r="I19" i="222" s="1"/>
  <c r="I12" i="221"/>
  <c r="G25" i="242" l="1"/>
  <c r="G27" i="242" s="1"/>
  <c r="G22" i="242"/>
  <c r="F19" i="242"/>
  <c r="F9" i="243"/>
  <c r="F12" i="242"/>
  <c r="AC10" i="165"/>
  <c r="C22" i="184"/>
  <c r="C25" i="184"/>
  <c r="C27" i="184" s="1"/>
  <c r="I22" i="221"/>
  <c r="I25" i="221"/>
  <c r="I27" i="221" s="1"/>
  <c r="E22" i="184"/>
  <c r="E25" i="184"/>
  <c r="E27" i="184" s="1"/>
  <c r="G22" i="194"/>
  <c r="G25" i="194"/>
  <c r="G27" i="194" s="1"/>
  <c r="G22" i="192"/>
  <c r="G25" i="192"/>
  <c r="G27" i="192" s="1"/>
  <c r="I22" i="192"/>
  <c r="I25" i="192"/>
  <c r="I27" i="192" s="1"/>
  <c r="G22" i="221"/>
  <c r="G25" i="221"/>
  <c r="G27" i="221" s="1"/>
  <c r="I22" i="194"/>
  <c r="I25" i="194"/>
  <c r="I27" i="194" s="1"/>
  <c r="I12" i="222"/>
  <c r="K17" i="33"/>
  <c r="M17" i="33" s="1"/>
  <c r="H12" i="222"/>
  <c r="U21" i="159"/>
  <c r="AA21" i="156"/>
  <c r="U21" i="156"/>
  <c r="K10" i="33"/>
  <c r="M10" i="33" s="1"/>
  <c r="U21" i="160"/>
  <c r="G12" i="222"/>
  <c r="AA21" i="165"/>
  <c r="AC21" i="165" s="1"/>
  <c r="U21" i="165"/>
  <c r="G9" i="243" l="1"/>
  <c r="G12" i="242"/>
  <c r="F19" i="243"/>
  <c r="F12" i="243"/>
  <c r="F25" i="242"/>
  <c r="F22" i="242"/>
  <c r="H22" i="222"/>
  <c r="H25" i="222"/>
  <c r="H27" i="222" s="1"/>
  <c r="G22" i="222"/>
  <c r="G25" i="222"/>
  <c r="G27" i="222" s="1"/>
  <c r="I22" i="222"/>
  <c r="I25" i="222"/>
  <c r="I27" i="222" s="1"/>
  <c r="O28" i="162"/>
  <c r="O27" i="160"/>
  <c r="O27" i="159"/>
  <c r="Q27" i="79"/>
  <c r="O27" i="156"/>
  <c r="S27" i="156" s="1"/>
  <c r="O14" i="162"/>
  <c r="O13" i="160"/>
  <c r="Q13" i="160" s="1"/>
  <c r="Q13" i="79"/>
  <c r="O13" i="159"/>
  <c r="Q13" i="159" s="1"/>
  <c r="O13" i="156"/>
  <c r="Q13" i="156" s="1"/>
  <c r="G11" i="160"/>
  <c r="I11" i="160" s="1"/>
  <c r="G12" i="162"/>
  <c r="G11" i="159"/>
  <c r="I11" i="159" s="1"/>
  <c r="G11" i="156"/>
  <c r="I11" i="79"/>
  <c r="K7" i="162"/>
  <c r="K7" i="156"/>
  <c r="K7" i="160"/>
  <c r="K7" i="159"/>
  <c r="M7" i="79"/>
  <c r="K17" i="162"/>
  <c r="M17" i="162" s="1"/>
  <c r="K16" i="156"/>
  <c r="K16" i="160"/>
  <c r="M16" i="160" s="1"/>
  <c r="K16" i="159"/>
  <c r="M16" i="159" s="1"/>
  <c r="M16" i="79"/>
  <c r="C13" i="165"/>
  <c r="O25" i="165"/>
  <c r="Q25" i="165" s="1"/>
  <c r="Q25" i="164"/>
  <c r="O21" i="162"/>
  <c r="Q21" i="162" s="1"/>
  <c r="O20" i="156"/>
  <c r="Q20" i="156" s="1"/>
  <c r="Q20" i="79"/>
  <c r="O20" i="159"/>
  <c r="Q20" i="159" s="1"/>
  <c r="O20" i="160"/>
  <c r="Q20" i="160" s="1"/>
  <c r="O14" i="165"/>
  <c r="Q14" i="165" s="1"/>
  <c r="Q14" i="164"/>
  <c r="G12" i="165"/>
  <c r="I12" i="165" s="1"/>
  <c r="I12" i="164"/>
  <c r="K8" i="165"/>
  <c r="M8" i="165" s="1"/>
  <c r="M8" i="164"/>
  <c r="C9" i="165"/>
  <c r="E9" i="164"/>
  <c r="C20" i="165"/>
  <c r="G20" i="165"/>
  <c r="I20" i="165" s="1"/>
  <c r="K20" i="165"/>
  <c r="M20" i="165" s="1"/>
  <c r="M20" i="164"/>
  <c r="C8" i="165"/>
  <c r="E8" i="164"/>
  <c r="O28" i="156"/>
  <c r="S28" i="156" s="1"/>
  <c r="O28" i="159"/>
  <c r="Q28" i="79"/>
  <c r="O28" i="160"/>
  <c r="O29" i="162"/>
  <c r="O24" i="162"/>
  <c r="Q24" i="162" s="1"/>
  <c r="O23" i="156"/>
  <c r="Q23" i="156" s="1"/>
  <c r="O23" i="159"/>
  <c r="Q23" i="159" s="1"/>
  <c r="O23" i="160"/>
  <c r="Q23" i="160" s="1"/>
  <c r="Q23" i="79"/>
  <c r="G16" i="160"/>
  <c r="I16" i="160" s="1"/>
  <c r="G17" i="162"/>
  <c r="I17" i="162" s="1"/>
  <c r="G16" i="159"/>
  <c r="I16" i="159" s="1"/>
  <c r="I16" i="79"/>
  <c r="Q12" i="79"/>
  <c r="O13" i="162"/>
  <c r="Q13" i="162" s="1"/>
  <c r="O12" i="156"/>
  <c r="Q12" i="156" s="1"/>
  <c r="O12" i="160"/>
  <c r="Q12" i="160" s="1"/>
  <c r="O12" i="159"/>
  <c r="Q12" i="159" s="1"/>
  <c r="G9" i="165"/>
  <c r="I9" i="165" s="1"/>
  <c r="I9" i="164"/>
  <c r="C13" i="162"/>
  <c r="C12" i="160"/>
  <c r="C12" i="159"/>
  <c r="E12" i="79"/>
  <c r="O22" i="165"/>
  <c r="Q22" i="165" s="1"/>
  <c r="Q22" i="164"/>
  <c r="O11" i="159"/>
  <c r="Q11" i="159" s="1"/>
  <c r="O11" i="160"/>
  <c r="Q11" i="160" s="1"/>
  <c r="O11" i="156"/>
  <c r="Q11" i="156" s="1"/>
  <c r="O12" i="162"/>
  <c r="Q11" i="79"/>
  <c r="O27" i="165"/>
  <c r="Q27" i="164"/>
  <c r="G23" i="165"/>
  <c r="I23" i="165" s="1"/>
  <c r="K23" i="165"/>
  <c r="M23" i="165" s="1"/>
  <c r="C23" i="165"/>
  <c r="M23" i="164"/>
  <c r="O13" i="165"/>
  <c r="Q13" i="165" s="1"/>
  <c r="Q13" i="164"/>
  <c r="G11" i="165"/>
  <c r="I11" i="165" s="1"/>
  <c r="I11" i="164"/>
  <c r="K7" i="165"/>
  <c r="M7" i="164"/>
  <c r="K25" i="165"/>
  <c r="M25" i="165" s="1"/>
  <c r="C25" i="165"/>
  <c r="G25" i="165"/>
  <c r="I25" i="165" s="1"/>
  <c r="M25" i="164"/>
  <c r="K9" i="156"/>
  <c r="M9" i="156" s="1"/>
  <c r="K9" i="159"/>
  <c r="M9" i="159" s="1"/>
  <c r="K10" i="162"/>
  <c r="M10" i="162" s="1"/>
  <c r="K9" i="160"/>
  <c r="M9" i="160" s="1"/>
  <c r="M9" i="79"/>
  <c r="C25" i="162"/>
  <c r="G25" i="162"/>
  <c r="I25" i="162" s="1"/>
  <c r="C24" i="159"/>
  <c r="K24" i="160"/>
  <c r="M24" i="160" s="1"/>
  <c r="G24" i="160"/>
  <c r="I24" i="160" s="1"/>
  <c r="K25" i="162"/>
  <c r="M25" i="162" s="1"/>
  <c r="K24" i="156"/>
  <c r="M24" i="156" s="1"/>
  <c r="C24" i="160"/>
  <c r="G24" i="159"/>
  <c r="I24" i="159" s="1"/>
  <c r="K24" i="159"/>
  <c r="M24" i="159" s="1"/>
  <c r="G24" i="156"/>
  <c r="M24" i="79"/>
  <c r="C18" i="165"/>
  <c r="G18" i="165"/>
  <c r="I18" i="165" s="1"/>
  <c r="K18" i="165"/>
  <c r="M18" i="165" s="1"/>
  <c r="M18" i="164"/>
  <c r="K13" i="165"/>
  <c r="M13" i="165" s="1"/>
  <c r="M13" i="164"/>
  <c r="Q9" i="79"/>
  <c r="O9" i="160"/>
  <c r="Q9" i="160" s="1"/>
  <c r="O9" i="159"/>
  <c r="Q9" i="159" s="1"/>
  <c r="O9" i="156"/>
  <c r="Q9" i="156" s="1"/>
  <c r="O10" i="162"/>
  <c r="Q10" i="162" s="1"/>
  <c r="G7" i="162"/>
  <c r="G7" i="156"/>
  <c r="G7" i="159"/>
  <c r="G7" i="160"/>
  <c r="I7" i="79"/>
  <c r="O29" i="165"/>
  <c r="Q29" i="164"/>
  <c r="G13" i="165"/>
  <c r="I13" i="165" s="1"/>
  <c r="I13" i="164"/>
  <c r="O28" i="165"/>
  <c r="Q28" i="164"/>
  <c r="O23" i="165"/>
  <c r="Q23" i="165" s="1"/>
  <c r="Q23" i="164"/>
  <c r="G16" i="165"/>
  <c r="I16" i="165" s="1"/>
  <c r="I16" i="164"/>
  <c r="O12" i="165"/>
  <c r="Q12" i="165" s="1"/>
  <c r="Q12" i="164"/>
  <c r="G10" i="162"/>
  <c r="I10" i="162" s="1"/>
  <c r="G9" i="160"/>
  <c r="I9" i="160" s="1"/>
  <c r="G9" i="156"/>
  <c r="G9" i="159"/>
  <c r="I9" i="159" s="1"/>
  <c r="I9" i="79"/>
  <c r="C12" i="165"/>
  <c r="Q22" i="79"/>
  <c r="O23" i="162"/>
  <c r="Q23" i="162" s="1"/>
  <c r="O22" i="160"/>
  <c r="O22" i="156"/>
  <c r="O22" i="159"/>
  <c r="O11" i="165"/>
  <c r="Q11" i="165" s="1"/>
  <c r="Q11" i="164"/>
  <c r="K24" i="162"/>
  <c r="M24" i="162" s="1"/>
  <c r="K23" i="156"/>
  <c r="M23" i="156" s="1"/>
  <c r="K23" i="160"/>
  <c r="M23" i="160" s="1"/>
  <c r="G24" i="162"/>
  <c r="I24" i="162" s="1"/>
  <c r="G23" i="160"/>
  <c r="I23" i="160" s="1"/>
  <c r="G23" i="156"/>
  <c r="C24" i="162"/>
  <c r="G23" i="159"/>
  <c r="I23" i="159" s="1"/>
  <c r="K23" i="159"/>
  <c r="M23" i="159" s="1"/>
  <c r="C23" i="159"/>
  <c r="C23" i="160"/>
  <c r="M23" i="79"/>
  <c r="O24" i="165"/>
  <c r="Q24" i="165" s="1"/>
  <c r="Q24" i="164"/>
  <c r="G15" i="165"/>
  <c r="I15" i="164"/>
  <c r="K12" i="156"/>
  <c r="M12" i="156" s="1"/>
  <c r="K12" i="159"/>
  <c r="M12" i="159" s="1"/>
  <c r="K12" i="160"/>
  <c r="M12" i="160" s="1"/>
  <c r="K13" i="162"/>
  <c r="M13" i="162" s="1"/>
  <c r="M12" i="79"/>
  <c r="O8" i="165"/>
  <c r="Q8" i="165" s="1"/>
  <c r="Q8" i="164"/>
  <c r="C12" i="162"/>
  <c r="C11" i="160"/>
  <c r="C11" i="159"/>
  <c r="E11" i="79"/>
  <c r="K25" i="160"/>
  <c r="M25" i="160" s="1"/>
  <c r="K26" i="162"/>
  <c r="M26" i="162" s="1"/>
  <c r="G25" i="156"/>
  <c r="G25" i="159"/>
  <c r="I25" i="159" s="1"/>
  <c r="K25" i="156"/>
  <c r="M25" i="156" s="1"/>
  <c r="M25" i="79"/>
  <c r="C25" i="160"/>
  <c r="K25" i="159"/>
  <c r="M25" i="159" s="1"/>
  <c r="G26" i="162"/>
  <c r="I26" i="162" s="1"/>
  <c r="G25" i="160"/>
  <c r="I25" i="160" s="1"/>
  <c r="C26" i="162"/>
  <c r="C25" i="159"/>
  <c r="K9" i="165"/>
  <c r="M9" i="165" s="1"/>
  <c r="M9" i="164"/>
  <c r="K21" i="33"/>
  <c r="M21" i="33" s="1"/>
  <c r="K24" i="165"/>
  <c r="M24" i="165" s="1"/>
  <c r="G24" i="165"/>
  <c r="I24" i="165" s="1"/>
  <c r="C24" i="165"/>
  <c r="M24" i="164"/>
  <c r="G19" i="162"/>
  <c r="I19" i="162" s="1"/>
  <c r="C19" i="162"/>
  <c r="G18" i="159"/>
  <c r="I18" i="159" s="1"/>
  <c r="G18" i="160"/>
  <c r="I18" i="160" s="1"/>
  <c r="K18" i="159"/>
  <c r="M18" i="159" s="1"/>
  <c r="K19" i="162"/>
  <c r="M19" i="162" s="1"/>
  <c r="K18" i="160"/>
  <c r="M18" i="160" s="1"/>
  <c r="C18" i="160"/>
  <c r="K18" i="156"/>
  <c r="C18" i="159"/>
  <c r="M18" i="79"/>
  <c r="K13" i="160"/>
  <c r="M13" i="160" s="1"/>
  <c r="K14" i="162"/>
  <c r="K13" i="159"/>
  <c r="M13" i="159" s="1"/>
  <c r="K13" i="156"/>
  <c r="M13" i="156" s="1"/>
  <c r="M13" i="79"/>
  <c r="O9" i="165"/>
  <c r="Q9" i="165" s="1"/>
  <c r="Q9" i="164"/>
  <c r="G7" i="165"/>
  <c r="I7" i="164"/>
  <c r="AC21" i="156"/>
  <c r="O30" i="162"/>
  <c r="O29" i="159"/>
  <c r="O29" i="156"/>
  <c r="S29" i="156" s="1"/>
  <c r="Q29" i="79"/>
  <c r="O29" i="160"/>
  <c r="G13" i="160"/>
  <c r="I13" i="160" s="1"/>
  <c r="G14" i="162"/>
  <c r="G13" i="156"/>
  <c r="G13" i="159"/>
  <c r="I13" i="159" s="1"/>
  <c r="I13" i="79"/>
  <c r="C26" i="165"/>
  <c r="G26" i="165"/>
  <c r="I26" i="165" s="1"/>
  <c r="K26" i="165"/>
  <c r="M26" i="165" s="1"/>
  <c r="M26" i="164"/>
  <c r="G22" i="165"/>
  <c r="I22" i="165" s="1"/>
  <c r="K22" i="165"/>
  <c r="M22" i="165" s="1"/>
  <c r="C22" i="165"/>
  <c r="M22" i="164"/>
  <c r="G14" i="165"/>
  <c r="I14" i="164"/>
  <c r="K11" i="159"/>
  <c r="M11" i="159" s="1"/>
  <c r="K11" i="160"/>
  <c r="M11" i="160" s="1"/>
  <c r="K11" i="156"/>
  <c r="M11" i="156" s="1"/>
  <c r="K12" i="162"/>
  <c r="M11" i="79"/>
  <c r="Q7" i="79"/>
  <c r="O7" i="160"/>
  <c r="O7" i="162"/>
  <c r="O7" i="156"/>
  <c r="O7" i="159"/>
  <c r="C7" i="160"/>
  <c r="C7" i="162"/>
  <c r="C7" i="159"/>
  <c r="E7" i="79"/>
  <c r="O26" i="165"/>
  <c r="Q26" i="165" s="1"/>
  <c r="Q26" i="164"/>
  <c r="K14" i="165"/>
  <c r="M14" i="165" s="1"/>
  <c r="M14" i="164"/>
  <c r="G8" i="162"/>
  <c r="I8" i="162" s="1"/>
  <c r="G8" i="159"/>
  <c r="I8" i="159" s="1"/>
  <c r="G8" i="156"/>
  <c r="G9" i="162"/>
  <c r="G8" i="160"/>
  <c r="I8" i="160" s="1"/>
  <c r="I8" i="79"/>
  <c r="O24" i="156"/>
  <c r="Q24" i="156" s="1"/>
  <c r="O24" i="160"/>
  <c r="Q24" i="160" s="1"/>
  <c r="O25" i="162"/>
  <c r="Q25" i="162" s="1"/>
  <c r="Q24" i="79"/>
  <c r="O24" i="159"/>
  <c r="Q24" i="159" s="1"/>
  <c r="G15" i="160"/>
  <c r="G16" i="162"/>
  <c r="G15" i="159"/>
  <c r="G15" i="156"/>
  <c r="S15" i="156" s="1"/>
  <c r="I15" i="79"/>
  <c r="K12" i="165"/>
  <c r="M12" i="165" s="1"/>
  <c r="M12" i="164"/>
  <c r="O9" i="162"/>
  <c r="Q8" i="79"/>
  <c r="O8" i="156"/>
  <c r="Q8" i="156" s="1"/>
  <c r="O8" i="159"/>
  <c r="Q8" i="159" s="1"/>
  <c r="O8" i="160"/>
  <c r="Q8" i="160" s="1"/>
  <c r="O8" i="162"/>
  <c r="Q8" i="162" s="1"/>
  <c r="C11" i="165"/>
  <c r="E11" i="164"/>
  <c r="K16" i="165"/>
  <c r="M16" i="165" s="1"/>
  <c r="M16" i="164"/>
  <c r="C14" i="162"/>
  <c r="C13" i="160"/>
  <c r="C13" i="159"/>
  <c r="E13" i="79"/>
  <c r="Q25" i="79"/>
  <c r="O25" i="156"/>
  <c r="Q25" i="156" s="1"/>
  <c r="O25" i="160"/>
  <c r="Q25" i="160" s="1"/>
  <c r="O25" i="159"/>
  <c r="Q25" i="159" s="1"/>
  <c r="O26" i="162"/>
  <c r="Q26" i="162" s="1"/>
  <c r="O20" i="165"/>
  <c r="Q20" i="165" s="1"/>
  <c r="Q20" i="164"/>
  <c r="Q14" i="79"/>
  <c r="O15" i="162"/>
  <c r="Q15" i="162" s="1"/>
  <c r="O14" i="159"/>
  <c r="Q14" i="159" s="1"/>
  <c r="O14" i="156"/>
  <c r="Q14" i="156" s="1"/>
  <c r="O14" i="160"/>
  <c r="Q14" i="160" s="1"/>
  <c r="G13" i="162"/>
  <c r="I13" i="162" s="1"/>
  <c r="G12" i="156"/>
  <c r="G12" i="160"/>
  <c r="I12" i="160" s="1"/>
  <c r="G12" i="159"/>
  <c r="I12" i="159" s="1"/>
  <c r="I12" i="79"/>
  <c r="K8" i="162"/>
  <c r="M8" i="162" s="1"/>
  <c r="K9" i="162"/>
  <c r="K8" i="156"/>
  <c r="M8" i="156" s="1"/>
  <c r="K8" i="159"/>
  <c r="M8" i="159" s="1"/>
  <c r="K8" i="160"/>
  <c r="M8" i="160" s="1"/>
  <c r="M8" i="79"/>
  <c r="C9" i="160"/>
  <c r="C10" i="162"/>
  <c r="C9" i="159"/>
  <c r="E9" i="79"/>
  <c r="G20" i="156"/>
  <c r="K20" i="159"/>
  <c r="M20" i="159" s="1"/>
  <c r="G20" i="160"/>
  <c r="I20" i="160" s="1"/>
  <c r="K20" i="156"/>
  <c r="M20" i="156" s="1"/>
  <c r="C20" i="159"/>
  <c r="G21" i="162"/>
  <c r="I21" i="162" s="1"/>
  <c r="K20" i="160"/>
  <c r="M20" i="160" s="1"/>
  <c r="C20" i="160"/>
  <c r="C21" i="162"/>
  <c r="K21" i="162"/>
  <c r="M21" i="162" s="1"/>
  <c r="G20" i="159"/>
  <c r="I20" i="159" s="1"/>
  <c r="M20" i="79"/>
  <c r="C8" i="162"/>
  <c r="C8" i="160"/>
  <c r="C9" i="162"/>
  <c r="C8" i="159"/>
  <c r="E8" i="79"/>
  <c r="C27" i="162"/>
  <c r="M26" i="79"/>
  <c r="G26" i="156"/>
  <c r="G26" i="160"/>
  <c r="I26" i="160" s="1"/>
  <c r="K27" i="162"/>
  <c r="M27" i="162" s="1"/>
  <c r="G27" i="162"/>
  <c r="I27" i="162" s="1"/>
  <c r="K26" i="160"/>
  <c r="M26" i="160" s="1"/>
  <c r="C26" i="159"/>
  <c r="C26" i="160"/>
  <c r="G26" i="159"/>
  <c r="I26" i="159" s="1"/>
  <c r="K26" i="156"/>
  <c r="M26" i="156" s="1"/>
  <c r="K26" i="159"/>
  <c r="M26" i="159" s="1"/>
  <c r="K22" i="160"/>
  <c r="G22" i="156"/>
  <c r="K23" i="162"/>
  <c r="M23" i="162" s="1"/>
  <c r="K22" i="156"/>
  <c r="G22" i="160"/>
  <c r="G23" i="162"/>
  <c r="I23" i="162" s="1"/>
  <c r="C22" i="160"/>
  <c r="C23" i="162"/>
  <c r="G22" i="159"/>
  <c r="K22" i="159"/>
  <c r="C22" i="159"/>
  <c r="M22" i="79"/>
  <c r="G15" i="162"/>
  <c r="G14" i="160"/>
  <c r="G14" i="156"/>
  <c r="G14" i="159"/>
  <c r="I14" i="79"/>
  <c r="K11" i="165"/>
  <c r="M11" i="165" s="1"/>
  <c r="M11" i="164"/>
  <c r="O7" i="165"/>
  <c r="Q7" i="164"/>
  <c r="C7" i="165"/>
  <c r="E7" i="164"/>
  <c r="O27" i="162"/>
  <c r="Q27" i="162" s="1"/>
  <c r="O26" i="156"/>
  <c r="Q26" i="156" s="1"/>
  <c r="O26" i="159"/>
  <c r="Q26" i="159" s="1"/>
  <c r="Q26" i="79"/>
  <c r="O26" i="160"/>
  <c r="Q26" i="160" s="1"/>
  <c r="K14" i="159"/>
  <c r="M14" i="159" s="1"/>
  <c r="K14" i="156"/>
  <c r="M14" i="156" s="1"/>
  <c r="K14" i="160"/>
  <c r="M14" i="160" s="1"/>
  <c r="K15" i="162"/>
  <c r="M15" i="162" s="1"/>
  <c r="M14" i="79"/>
  <c r="G8" i="165"/>
  <c r="I8" i="165" s="1"/>
  <c r="I8" i="164"/>
  <c r="F25" i="243" l="1"/>
  <c r="F27" i="243" s="1"/>
  <c r="F22" i="243"/>
  <c r="F27" i="242"/>
  <c r="G19" i="243"/>
  <c r="G12" i="243"/>
  <c r="S9" i="156"/>
  <c r="S12" i="156"/>
  <c r="S13" i="156"/>
  <c r="S20" i="156"/>
  <c r="S23" i="156"/>
  <c r="S8" i="156"/>
  <c r="S25" i="156"/>
  <c r="S14" i="156"/>
  <c r="S7" i="156"/>
  <c r="S22" i="156"/>
  <c r="S24" i="156"/>
  <c r="S26" i="156"/>
  <c r="M18" i="156"/>
  <c r="S18" i="156"/>
  <c r="M16" i="156"/>
  <c r="S16" i="156"/>
  <c r="S11" i="156"/>
  <c r="I14" i="159"/>
  <c r="S14" i="159"/>
  <c r="E26" i="160"/>
  <c r="S26" i="160"/>
  <c r="U26" i="160" s="1"/>
  <c r="S9" i="160"/>
  <c r="U9" i="160" s="1"/>
  <c r="E9" i="160"/>
  <c r="E7" i="159"/>
  <c r="S7" i="159"/>
  <c r="C39" i="159"/>
  <c r="E39" i="159" s="1"/>
  <c r="E44" i="159" s="1"/>
  <c r="C40" i="159"/>
  <c r="E40" i="159" s="1"/>
  <c r="E45" i="159" s="1"/>
  <c r="Q7" i="159"/>
  <c r="O40" i="159"/>
  <c r="Q40" i="159" s="1"/>
  <c r="Q45" i="159" s="1"/>
  <c r="O39" i="159"/>
  <c r="Q39" i="159" s="1"/>
  <c r="Q44" i="159" s="1"/>
  <c r="S29" i="159"/>
  <c r="Q29" i="159"/>
  <c r="S19" i="162"/>
  <c r="U19" i="162" s="1"/>
  <c r="E19" i="162"/>
  <c r="G39" i="159"/>
  <c r="I39" i="159" s="1"/>
  <c r="I44" i="159" s="1"/>
  <c r="G40" i="159"/>
  <c r="I40" i="159" s="1"/>
  <c r="I45" i="159" s="1"/>
  <c r="I7" i="159"/>
  <c r="G41" i="162"/>
  <c r="I41" i="162" s="1"/>
  <c r="I47" i="162" s="1"/>
  <c r="G40" i="162"/>
  <c r="I40" i="162" s="1"/>
  <c r="I46" i="162" s="1"/>
  <c r="I7" i="162"/>
  <c r="S24" i="160"/>
  <c r="U24" i="160" s="1"/>
  <c r="E24" i="160"/>
  <c r="S23" i="165"/>
  <c r="C23" i="33" s="1"/>
  <c r="E23" i="33" s="1"/>
  <c r="E23" i="165"/>
  <c r="Q29" i="162"/>
  <c r="S29" i="162"/>
  <c r="U29" i="162" s="1"/>
  <c r="S20" i="165"/>
  <c r="C20" i="33" s="1"/>
  <c r="E20" i="33" s="1"/>
  <c r="E20" i="165"/>
  <c r="I16" i="156"/>
  <c r="K40" i="156"/>
  <c r="M40" i="156" s="1"/>
  <c r="M45" i="156" s="1"/>
  <c r="K39" i="156"/>
  <c r="M39" i="156" s="1"/>
  <c r="M44" i="156" s="1"/>
  <c r="M7" i="156"/>
  <c r="Q27" i="156"/>
  <c r="Q27" i="159"/>
  <c r="S27" i="159"/>
  <c r="Q28" i="162"/>
  <c r="S28" i="162"/>
  <c r="U28" i="162" s="1"/>
  <c r="I14" i="160"/>
  <c r="S14" i="160"/>
  <c r="U14" i="160" s="1"/>
  <c r="S22" i="159"/>
  <c r="E22" i="159"/>
  <c r="C41" i="159"/>
  <c r="E41" i="159" s="1"/>
  <c r="E46" i="159" s="1"/>
  <c r="S22" i="160"/>
  <c r="E22" i="160"/>
  <c r="C41" i="160"/>
  <c r="E41" i="160" s="1"/>
  <c r="E46" i="160" s="1"/>
  <c r="M22" i="160"/>
  <c r="K41" i="160"/>
  <c r="M41" i="160" s="1"/>
  <c r="M46" i="160" s="1"/>
  <c r="E26" i="159"/>
  <c r="S26" i="159"/>
  <c r="I26" i="156"/>
  <c r="E27" i="162"/>
  <c r="S27" i="162"/>
  <c r="U27" i="162" s="1"/>
  <c r="S20" i="160"/>
  <c r="U20" i="160" s="1"/>
  <c r="E20" i="160"/>
  <c r="K42" i="162"/>
  <c r="M42" i="162" s="1"/>
  <c r="M48" i="162" s="1"/>
  <c r="M9" i="162"/>
  <c r="E13" i="159"/>
  <c r="S13" i="159"/>
  <c r="E14" i="162"/>
  <c r="S14" i="162"/>
  <c r="C44" i="162"/>
  <c r="E44" i="162" s="1"/>
  <c r="E50" i="162" s="1"/>
  <c r="S16" i="162"/>
  <c r="U16" i="162" s="1"/>
  <c r="I16" i="162"/>
  <c r="G42" i="162"/>
  <c r="I42" i="162" s="1"/>
  <c r="I48" i="162" s="1"/>
  <c r="I9" i="162"/>
  <c r="E7" i="160"/>
  <c r="C39" i="160"/>
  <c r="E39" i="160" s="1"/>
  <c r="E44" i="160" s="1"/>
  <c r="S7" i="160"/>
  <c r="C40" i="160"/>
  <c r="E40" i="160" s="1"/>
  <c r="E45" i="160" s="1"/>
  <c r="Q7" i="156"/>
  <c r="O39" i="156"/>
  <c r="Q39" i="156" s="1"/>
  <c r="Q44" i="156" s="1"/>
  <c r="O40" i="156"/>
  <c r="Q40" i="156" s="1"/>
  <c r="Q45" i="156" s="1"/>
  <c r="K43" i="162"/>
  <c r="M43" i="162" s="1"/>
  <c r="M49" i="162" s="1"/>
  <c r="M12" i="162"/>
  <c r="I14" i="165"/>
  <c r="S14" i="165"/>
  <c r="C14" i="33" s="1"/>
  <c r="S26" i="165"/>
  <c r="C26" i="33" s="1"/>
  <c r="E26" i="33" s="1"/>
  <c r="E26" i="165"/>
  <c r="S18" i="160"/>
  <c r="U18" i="160" s="1"/>
  <c r="E18" i="160"/>
  <c r="E26" i="162"/>
  <c r="S26" i="162"/>
  <c r="U26" i="162" s="1"/>
  <c r="S15" i="165"/>
  <c r="C15" i="33" s="1"/>
  <c r="I15" i="165"/>
  <c r="S24" i="162"/>
  <c r="U24" i="162" s="1"/>
  <c r="E24" i="162"/>
  <c r="G39" i="160"/>
  <c r="I39" i="160" s="1"/>
  <c r="I44" i="160" s="1"/>
  <c r="G40" i="160"/>
  <c r="I40" i="160" s="1"/>
  <c r="I45" i="160" s="1"/>
  <c r="I7" i="160"/>
  <c r="G39" i="156"/>
  <c r="I39" i="156" s="1"/>
  <c r="I44" i="156" s="1"/>
  <c r="G40" i="156"/>
  <c r="I40" i="156" s="1"/>
  <c r="I45" i="156" s="1"/>
  <c r="I7" i="156"/>
  <c r="S18" i="165"/>
  <c r="C18" i="33" s="1"/>
  <c r="E18" i="33" s="1"/>
  <c r="E18" i="165"/>
  <c r="I24" i="156"/>
  <c r="S24" i="159"/>
  <c r="E24" i="159"/>
  <c r="S25" i="162"/>
  <c r="U25" i="162" s="1"/>
  <c r="E25" i="162"/>
  <c r="Q28" i="156"/>
  <c r="E8" i="165"/>
  <c r="S8" i="165"/>
  <c r="C8" i="33" s="1"/>
  <c r="E8" i="33" s="1"/>
  <c r="S13" i="165"/>
  <c r="C13" i="33" s="1"/>
  <c r="S16" i="160"/>
  <c r="U16" i="160" s="1"/>
  <c r="E16" i="160"/>
  <c r="Q14" i="162"/>
  <c r="O44" i="162"/>
  <c r="Q44" i="162" s="1"/>
  <c r="Q50" i="162" s="1"/>
  <c r="O39" i="165"/>
  <c r="Q39" i="165" s="1"/>
  <c r="Q41" i="165" s="1"/>
  <c r="Q7" i="165"/>
  <c r="I14" i="156"/>
  <c r="S23" i="162"/>
  <c r="U23" i="162" s="1"/>
  <c r="E23" i="162"/>
  <c r="M22" i="156"/>
  <c r="K41" i="156"/>
  <c r="M41" i="156" s="1"/>
  <c r="M46" i="156" s="1"/>
  <c r="S9" i="159"/>
  <c r="E9" i="159"/>
  <c r="I12" i="156"/>
  <c r="E13" i="160"/>
  <c r="S13" i="160"/>
  <c r="U13" i="160" s="1"/>
  <c r="S15" i="159"/>
  <c r="I15" i="159"/>
  <c r="C41" i="162"/>
  <c r="E41" i="162" s="1"/>
  <c r="E47" i="162" s="1"/>
  <c r="E7" i="162"/>
  <c r="S7" i="162"/>
  <c r="C40" i="162"/>
  <c r="E40" i="162" s="1"/>
  <c r="E46" i="162" s="1"/>
  <c r="S29" i="160"/>
  <c r="U29" i="160" s="1"/>
  <c r="Q29" i="160"/>
  <c r="S30" i="162"/>
  <c r="U30" i="162" s="1"/>
  <c r="Q30" i="162"/>
  <c r="S24" i="165"/>
  <c r="C24" i="33" s="1"/>
  <c r="E24" i="33" s="1"/>
  <c r="E24" i="165"/>
  <c r="S25" i="159"/>
  <c r="E25" i="159"/>
  <c r="Q22" i="160"/>
  <c r="O41" i="160"/>
  <c r="Q41" i="160" s="1"/>
  <c r="Q46" i="160" s="1"/>
  <c r="I9" i="156"/>
  <c r="E7" i="165"/>
  <c r="S7" i="165"/>
  <c r="C7" i="33" s="1"/>
  <c r="C39" i="165"/>
  <c r="I15" i="162"/>
  <c r="S15" i="162"/>
  <c r="U15" i="162" s="1"/>
  <c r="I22" i="156"/>
  <c r="G41" i="156"/>
  <c r="I41" i="156" s="1"/>
  <c r="I46" i="156" s="1"/>
  <c r="C42" i="162"/>
  <c r="E42" i="162" s="1"/>
  <c r="E48" i="162" s="1"/>
  <c r="E9" i="162"/>
  <c r="S9" i="162"/>
  <c r="E8" i="162"/>
  <c r="S8" i="162"/>
  <c r="U8" i="162" s="1"/>
  <c r="S21" i="162"/>
  <c r="U21" i="162" s="1"/>
  <c r="E21" i="162"/>
  <c r="I20" i="156"/>
  <c r="S22" i="165"/>
  <c r="C22" i="33" s="1"/>
  <c r="E22" i="33" s="1"/>
  <c r="E22" i="165"/>
  <c r="S18" i="159"/>
  <c r="E18" i="159"/>
  <c r="S25" i="160"/>
  <c r="U25" i="160" s="1"/>
  <c r="E25" i="160"/>
  <c r="S11" i="160"/>
  <c r="U11" i="160" s="1"/>
  <c r="E11" i="160"/>
  <c r="S23" i="160"/>
  <c r="U23" i="160" s="1"/>
  <c r="E23" i="160"/>
  <c r="I23" i="156"/>
  <c r="Q22" i="156"/>
  <c r="O41" i="156"/>
  <c r="Q41" i="156" s="1"/>
  <c r="Q46" i="156" s="1"/>
  <c r="S12" i="165"/>
  <c r="C12" i="33" s="1"/>
  <c r="S28" i="165"/>
  <c r="C28" i="33" s="1"/>
  <c r="E28" i="33" s="1"/>
  <c r="Q28" i="165"/>
  <c r="S25" i="165"/>
  <c r="C25" i="33" s="1"/>
  <c r="E25" i="33" s="1"/>
  <c r="E25" i="165"/>
  <c r="S12" i="160"/>
  <c r="U12" i="160" s="1"/>
  <c r="E12" i="160"/>
  <c r="Q28" i="160"/>
  <c r="S28" i="160"/>
  <c r="U28" i="160" s="1"/>
  <c r="Q28" i="159"/>
  <c r="S28" i="159"/>
  <c r="S16" i="159"/>
  <c r="E16" i="159"/>
  <c r="S17" i="162"/>
  <c r="U17" i="162" s="1"/>
  <c r="E17" i="162"/>
  <c r="K40" i="160"/>
  <c r="M40" i="160" s="1"/>
  <c r="M45" i="160" s="1"/>
  <c r="K39" i="160"/>
  <c r="M39" i="160" s="1"/>
  <c r="M44" i="160" s="1"/>
  <c r="M7" i="160"/>
  <c r="K41" i="162"/>
  <c r="M41" i="162" s="1"/>
  <c r="M47" i="162" s="1"/>
  <c r="K40" i="162"/>
  <c r="M40" i="162" s="1"/>
  <c r="M46" i="162" s="1"/>
  <c r="M7" i="162"/>
  <c r="M22" i="159"/>
  <c r="K41" i="159"/>
  <c r="M41" i="159" s="1"/>
  <c r="M46" i="159" s="1"/>
  <c r="I22" i="159"/>
  <c r="G41" i="159"/>
  <c r="I41" i="159" s="1"/>
  <c r="I46" i="159" s="1"/>
  <c r="I22" i="160"/>
  <c r="G41" i="160"/>
  <c r="I41" i="160" s="1"/>
  <c r="I46" i="160" s="1"/>
  <c r="E8" i="159"/>
  <c r="S8" i="159"/>
  <c r="E8" i="160"/>
  <c r="S8" i="160"/>
  <c r="U8" i="160" s="1"/>
  <c r="S20" i="159"/>
  <c r="E20" i="159"/>
  <c r="S10" i="162"/>
  <c r="U10" i="162" s="1"/>
  <c r="E10" i="162"/>
  <c r="S16" i="165"/>
  <c r="C16" i="33" s="1"/>
  <c r="E16" i="33" s="1"/>
  <c r="E16" i="165"/>
  <c r="S11" i="165"/>
  <c r="C11" i="33" s="1"/>
  <c r="E11" i="33" s="1"/>
  <c r="E11" i="165"/>
  <c r="Q9" i="162"/>
  <c r="O42" i="162"/>
  <c r="Q42" i="162" s="1"/>
  <c r="Q48" i="162" s="1"/>
  <c r="I15" i="156"/>
  <c r="S15" i="160"/>
  <c r="I15" i="160"/>
  <c r="I8" i="156"/>
  <c r="Q7" i="162"/>
  <c r="O41" i="162"/>
  <c r="Q41" i="162" s="1"/>
  <c r="Q47" i="162" s="1"/>
  <c r="O40" i="162"/>
  <c r="Q40" i="162" s="1"/>
  <c r="Q46" i="162" s="1"/>
  <c r="Q7" i="160"/>
  <c r="O40" i="160"/>
  <c r="Q40" i="160" s="1"/>
  <c r="Q45" i="160" s="1"/>
  <c r="O39" i="160"/>
  <c r="Q39" i="160" s="1"/>
  <c r="Q44" i="160" s="1"/>
  <c r="I13" i="156"/>
  <c r="G44" i="162"/>
  <c r="I44" i="162" s="1"/>
  <c r="I50" i="162" s="1"/>
  <c r="I14" i="162"/>
  <c r="Q29" i="156"/>
  <c r="G39" i="165"/>
  <c r="I39" i="165" s="1"/>
  <c r="I41" i="165" s="1"/>
  <c r="I7" i="165"/>
  <c r="K44" i="162"/>
  <c r="M44" i="162" s="1"/>
  <c r="M50" i="162" s="1"/>
  <c r="M14" i="162"/>
  <c r="I18" i="156"/>
  <c r="I25" i="156"/>
  <c r="S11" i="159"/>
  <c r="E11" i="159"/>
  <c r="C43" i="162"/>
  <c r="E43" i="162" s="1"/>
  <c r="E49" i="162" s="1"/>
  <c r="S12" i="162"/>
  <c r="E12" i="162"/>
  <c r="S23" i="159"/>
  <c r="E23" i="159"/>
  <c r="Q22" i="159"/>
  <c r="O41" i="159"/>
  <c r="Q41" i="159" s="1"/>
  <c r="Q46" i="159" s="1"/>
  <c r="S29" i="165"/>
  <c r="C29" i="33" s="1"/>
  <c r="E29" i="33" s="1"/>
  <c r="Q29" i="165"/>
  <c r="K39" i="165"/>
  <c r="M39" i="165" s="1"/>
  <c r="M41" i="165" s="1"/>
  <c r="M7" i="165"/>
  <c r="S27" i="165"/>
  <c r="C27" i="33" s="1"/>
  <c r="E27" i="33" s="1"/>
  <c r="Q27" i="165"/>
  <c r="O43" i="162"/>
  <c r="Q43" i="162" s="1"/>
  <c r="Q49" i="162" s="1"/>
  <c r="Q12" i="162"/>
  <c r="E12" i="159"/>
  <c r="S12" i="159"/>
  <c r="E13" i="162"/>
  <c r="S13" i="162"/>
  <c r="U13" i="162" s="1"/>
  <c r="S9" i="165"/>
  <c r="C9" i="33" s="1"/>
  <c r="E9" i="33" s="1"/>
  <c r="E9" i="165"/>
  <c r="K39" i="159"/>
  <c r="M39" i="159" s="1"/>
  <c r="M44" i="159" s="1"/>
  <c r="K40" i="159"/>
  <c r="M40" i="159" s="1"/>
  <c r="M45" i="159" s="1"/>
  <c r="M7" i="159"/>
  <c r="I11" i="156"/>
  <c r="G43" i="162"/>
  <c r="I43" i="162" s="1"/>
  <c r="I49" i="162" s="1"/>
  <c r="I12" i="162"/>
  <c r="Q27" i="160"/>
  <c r="S27" i="160"/>
  <c r="U27" i="160" s="1"/>
  <c r="B21" i="244" l="1"/>
  <c r="E21" i="244"/>
  <c r="E14" i="244"/>
  <c r="G14" i="244" s="1"/>
  <c r="D28" i="244"/>
  <c r="G25" i="243"/>
  <c r="G27" i="243" s="1"/>
  <c r="G22" i="243"/>
  <c r="U15" i="160"/>
  <c r="AA22" i="165"/>
  <c r="AC22" i="165" s="1"/>
  <c r="U22" i="165"/>
  <c r="AA20" i="156"/>
  <c r="AC20" i="156" s="1"/>
  <c r="U20" i="156"/>
  <c r="U24" i="159"/>
  <c r="AA7" i="156"/>
  <c r="S40" i="156"/>
  <c r="S39" i="156"/>
  <c r="U7" i="156"/>
  <c r="U26" i="159"/>
  <c r="AA29" i="165"/>
  <c r="AC29" i="165" s="1"/>
  <c r="U29" i="165"/>
  <c r="U11" i="159"/>
  <c r="AA13" i="156"/>
  <c r="AC13" i="156" s="1"/>
  <c r="U13" i="156"/>
  <c r="AA12" i="165"/>
  <c r="AA7" i="165"/>
  <c r="S39" i="165"/>
  <c r="U7" i="165"/>
  <c r="AA13" i="165"/>
  <c r="AA15" i="165"/>
  <c r="AA26" i="165"/>
  <c r="AC26" i="165" s="1"/>
  <c r="U26" i="165"/>
  <c r="S43" i="162"/>
  <c r="N10" i="175" s="1"/>
  <c r="U12" i="162"/>
  <c r="AA16" i="165"/>
  <c r="AC16" i="165" s="1"/>
  <c r="U16" i="165"/>
  <c r="AA8" i="165"/>
  <c r="AC8" i="165" s="1"/>
  <c r="U8" i="165"/>
  <c r="AA16" i="156"/>
  <c r="AC16" i="156" s="1"/>
  <c r="U16" i="156"/>
  <c r="AA20" i="165"/>
  <c r="AC20" i="165" s="1"/>
  <c r="U20" i="165"/>
  <c r="U12" i="159"/>
  <c r="U23" i="159"/>
  <c r="AA29" i="156"/>
  <c r="AC29" i="156" s="1"/>
  <c r="U29" i="156"/>
  <c r="U8" i="159"/>
  <c r="U28" i="159"/>
  <c r="AA28" i="165"/>
  <c r="AC28" i="165" s="1"/>
  <c r="U28" i="165"/>
  <c r="AA23" i="156"/>
  <c r="AC23" i="156" s="1"/>
  <c r="U23" i="156"/>
  <c r="AA24" i="165"/>
  <c r="AC24" i="165" s="1"/>
  <c r="U24" i="165"/>
  <c r="AA24" i="156"/>
  <c r="AC24" i="156" s="1"/>
  <c r="U24" i="156"/>
  <c r="AA18" i="165"/>
  <c r="AC18" i="165" s="1"/>
  <c r="U18" i="165"/>
  <c r="S40" i="160"/>
  <c r="S39" i="160"/>
  <c r="U7" i="160"/>
  <c r="S44" i="162"/>
  <c r="U14" i="162"/>
  <c r="U13" i="159"/>
  <c r="AA26" i="156"/>
  <c r="AC26" i="156" s="1"/>
  <c r="U26" i="156"/>
  <c r="U22" i="160"/>
  <c r="S41" i="160"/>
  <c r="U41" i="160" s="1"/>
  <c r="U46" i="160" s="1"/>
  <c r="S39" i="159"/>
  <c r="S40" i="159"/>
  <c r="U7" i="159"/>
  <c r="AA18" i="156"/>
  <c r="AC18" i="156" s="1"/>
  <c r="U18" i="156"/>
  <c r="U18" i="159"/>
  <c r="AA28" i="156"/>
  <c r="AC28" i="156" s="1"/>
  <c r="U28" i="156"/>
  <c r="AA8" i="156"/>
  <c r="AC8" i="156" s="1"/>
  <c r="U8" i="156"/>
  <c r="AA15" i="156"/>
  <c r="AC15" i="156" s="1"/>
  <c r="U15" i="156"/>
  <c r="S41" i="162"/>
  <c r="S40" i="162"/>
  <c r="P10" i="175" s="1"/>
  <c r="U7" i="162"/>
  <c r="U9" i="159"/>
  <c r="U27" i="159"/>
  <c r="U29" i="159"/>
  <c r="U14" i="159"/>
  <c r="AA11" i="156"/>
  <c r="AC11" i="156" s="1"/>
  <c r="U11" i="156"/>
  <c r="AA9" i="165"/>
  <c r="AC9" i="165" s="1"/>
  <c r="U9" i="165"/>
  <c r="AA27" i="165"/>
  <c r="AC27" i="165" s="1"/>
  <c r="U27" i="165"/>
  <c r="AA25" i="156"/>
  <c r="AC25" i="156" s="1"/>
  <c r="U25" i="156"/>
  <c r="AA11" i="165"/>
  <c r="AC11" i="165" s="1"/>
  <c r="U11" i="165"/>
  <c r="U20" i="159"/>
  <c r="U16" i="159"/>
  <c r="AA25" i="165"/>
  <c r="AC25" i="165" s="1"/>
  <c r="U25" i="165"/>
  <c r="S42" i="162"/>
  <c r="U9" i="162"/>
  <c r="AA22" i="156"/>
  <c r="U22" i="156"/>
  <c r="S41" i="156"/>
  <c r="AA9" i="156"/>
  <c r="AC9" i="156" s="1"/>
  <c r="U9" i="156"/>
  <c r="U25" i="159"/>
  <c r="U15" i="159"/>
  <c r="AA12" i="156"/>
  <c r="AC12" i="156" s="1"/>
  <c r="U12" i="156"/>
  <c r="AA14" i="156"/>
  <c r="AC14" i="156" s="1"/>
  <c r="U14" i="156"/>
  <c r="AA14" i="165"/>
  <c r="U22" i="159"/>
  <c r="S41" i="159"/>
  <c r="AA27" i="156"/>
  <c r="AC27" i="156" s="1"/>
  <c r="U27" i="156"/>
  <c r="AA23" i="165"/>
  <c r="AC23" i="165" s="1"/>
  <c r="U23" i="165"/>
  <c r="N21" i="175" l="1"/>
  <c r="N9" i="224"/>
  <c r="N20" i="224" s="1"/>
  <c r="P21" i="175"/>
  <c r="P9" i="224"/>
  <c r="U44" i="162"/>
  <c r="U50" i="162" s="1"/>
  <c r="N10" i="199"/>
  <c r="N21" i="199" s="1"/>
  <c r="N24" i="199" s="1"/>
  <c r="N13" i="175"/>
  <c r="M20" i="224"/>
  <c r="L20" i="224"/>
  <c r="C13" i="233"/>
  <c r="E13" i="233"/>
  <c r="B13" i="233"/>
  <c r="D13" i="233"/>
  <c r="F13" i="233"/>
  <c r="K23" i="33"/>
  <c r="M23" i="33" s="1"/>
  <c r="F10" i="175"/>
  <c r="U40" i="162"/>
  <c r="U46" i="162" s="1"/>
  <c r="B9" i="191"/>
  <c r="B19" i="191" s="1"/>
  <c r="U40" i="159"/>
  <c r="U45" i="159" s="1"/>
  <c r="K18" i="33"/>
  <c r="M18" i="33" s="1"/>
  <c r="K20" i="33"/>
  <c r="M20" i="33" s="1"/>
  <c r="K12" i="33"/>
  <c r="B9" i="187"/>
  <c r="B19" i="187" s="1"/>
  <c r="U40" i="156"/>
  <c r="U45" i="156" s="1"/>
  <c r="C9" i="191"/>
  <c r="C19" i="191" s="1"/>
  <c r="U41" i="159"/>
  <c r="U46" i="159" s="1"/>
  <c r="C9" i="187"/>
  <c r="C19" i="187" s="1"/>
  <c r="U41" i="156"/>
  <c r="U46" i="156" s="1"/>
  <c r="K9" i="33"/>
  <c r="M9" i="33" s="1"/>
  <c r="U41" i="162"/>
  <c r="U47" i="162" s="1"/>
  <c r="E9" i="191"/>
  <c r="E19" i="191" s="1"/>
  <c r="U39" i="159"/>
  <c r="U44" i="159" s="1"/>
  <c r="E9" i="190"/>
  <c r="E19" i="190" s="1"/>
  <c r="U39" i="160"/>
  <c r="U44" i="160" s="1"/>
  <c r="K7" i="33"/>
  <c r="M7" i="33" s="1"/>
  <c r="E7" i="33"/>
  <c r="AA39" i="156"/>
  <c r="AA40" i="156"/>
  <c r="AC7" i="156"/>
  <c r="K22" i="33"/>
  <c r="M22" i="33" s="1"/>
  <c r="K14" i="33"/>
  <c r="K25" i="33"/>
  <c r="M25" i="33" s="1"/>
  <c r="K11" i="33"/>
  <c r="M11" i="33" s="1"/>
  <c r="K27" i="33"/>
  <c r="M27" i="33" s="1"/>
  <c r="B9" i="190"/>
  <c r="B19" i="190" s="1"/>
  <c r="U40" i="160"/>
  <c r="U45" i="160" s="1"/>
  <c r="K28" i="33"/>
  <c r="M28" i="33" s="1"/>
  <c r="K8" i="33"/>
  <c r="M8" i="33" s="1"/>
  <c r="K16" i="33"/>
  <c r="M16" i="33" s="1"/>
  <c r="D10" i="175"/>
  <c r="U43" i="162"/>
  <c r="U49" i="162" s="1"/>
  <c r="K26" i="33"/>
  <c r="M26" i="33" s="1"/>
  <c r="K15" i="33"/>
  <c r="K13" i="33"/>
  <c r="AA39" i="165"/>
  <c r="AC7" i="165"/>
  <c r="AC22" i="156"/>
  <c r="AA41" i="156"/>
  <c r="U42" i="162"/>
  <c r="U48" i="162" s="1"/>
  <c r="K24" i="33"/>
  <c r="M24" i="33" s="1"/>
  <c r="E9" i="187"/>
  <c r="E19" i="187" s="1"/>
  <c r="U39" i="156"/>
  <c r="U44" i="156" s="1"/>
  <c r="D21" i="175" l="1"/>
  <c r="D9" i="224"/>
  <c r="D20" i="224" s="1"/>
  <c r="F21" i="175"/>
  <c r="F9" i="224"/>
  <c r="F20" i="224" s="1"/>
  <c r="C19" i="223"/>
  <c r="O20" i="224"/>
  <c r="B19" i="223"/>
  <c r="D19" i="223"/>
  <c r="N27" i="175"/>
  <c r="N29" i="175" s="1"/>
  <c r="N24" i="175"/>
  <c r="N13" i="199"/>
  <c r="C9" i="221"/>
  <c r="C19" i="221" s="1"/>
  <c r="E9" i="221"/>
  <c r="B9" i="221"/>
  <c r="C20" i="224"/>
  <c r="P20" i="224"/>
  <c r="E20" i="224"/>
  <c r="P10" i="199"/>
  <c r="P21" i="199" s="1"/>
  <c r="P24" i="199" s="1"/>
  <c r="P13" i="175"/>
  <c r="E13" i="234"/>
  <c r="P13" i="233"/>
  <c r="O13" i="233"/>
  <c r="D27" i="233"/>
  <c r="D29" i="233" s="1"/>
  <c r="D24" i="233"/>
  <c r="E27" i="233"/>
  <c r="E29" i="233" s="1"/>
  <c r="E24" i="233"/>
  <c r="L13" i="233"/>
  <c r="M13" i="233"/>
  <c r="N13" i="233"/>
  <c r="F27" i="233"/>
  <c r="F29" i="233" s="1"/>
  <c r="F24" i="233"/>
  <c r="B27" i="233"/>
  <c r="B29" i="233" s="1"/>
  <c r="B24" i="233"/>
  <c r="C27" i="233"/>
  <c r="C29" i="233" s="1"/>
  <c r="C24" i="233"/>
  <c r="E9" i="194"/>
  <c r="E19" i="194" s="1"/>
  <c r="E12" i="187"/>
  <c r="B9" i="42"/>
  <c r="B20" i="42" s="1"/>
  <c r="E9" i="192"/>
  <c r="E19" i="192" s="1"/>
  <c r="E12" i="191"/>
  <c r="C9" i="194"/>
  <c r="C19" i="194" s="1"/>
  <c r="C12" i="187"/>
  <c r="K9" i="187"/>
  <c r="K19" i="187" s="1"/>
  <c r="AC41" i="156"/>
  <c r="AC46" i="156" s="1"/>
  <c r="D10" i="199"/>
  <c r="D21" i="199" s="1"/>
  <c r="D24" i="199" s="1"/>
  <c r="D13" i="175"/>
  <c r="J9" i="187"/>
  <c r="J19" i="187" s="1"/>
  <c r="AC40" i="156"/>
  <c r="AC45" i="156" s="1"/>
  <c r="E9" i="189"/>
  <c r="E19" i="189" s="1"/>
  <c r="E12" i="190"/>
  <c r="B9" i="189"/>
  <c r="B19" i="189" s="1"/>
  <c r="B12" i="190"/>
  <c r="M9" i="187"/>
  <c r="M19" i="187" s="1"/>
  <c r="AC39" i="156"/>
  <c r="AC44" i="156" s="1"/>
  <c r="C9" i="192"/>
  <c r="C19" i="192" s="1"/>
  <c r="C12" i="191"/>
  <c r="B9" i="194"/>
  <c r="B19" i="194" s="1"/>
  <c r="B12" i="187"/>
  <c r="B9" i="192"/>
  <c r="B19" i="192" s="1"/>
  <c r="B12" i="191"/>
  <c r="F10" i="199"/>
  <c r="F21" i="199" s="1"/>
  <c r="F24" i="199" s="1"/>
  <c r="F13" i="175"/>
  <c r="E19" i="221" l="1"/>
  <c r="C9" i="242"/>
  <c r="B19" i="221"/>
  <c r="B20" i="224"/>
  <c r="I19" i="223"/>
  <c r="J19" i="223"/>
  <c r="H19" i="223"/>
  <c r="N27" i="199"/>
  <c r="N29" i="199" s="1"/>
  <c r="P27" i="175"/>
  <c r="P29" i="175" s="1"/>
  <c r="P24" i="175"/>
  <c r="P13" i="199"/>
  <c r="C13" i="234"/>
  <c r="B13" i="234"/>
  <c r="F13" i="234"/>
  <c r="D13" i="234"/>
  <c r="N27" i="233"/>
  <c r="N29" i="233" s="1"/>
  <c r="N24" i="233"/>
  <c r="D27" i="234"/>
  <c r="D29" i="234" s="1"/>
  <c r="D24" i="234"/>
  <c r="M27" i="233"/>
  <c r="M29" i="233" s="1"/>
  <c r="M24" i="233"/>
  <c r="F27" i="234"/>
  <c r="F29" i="234" s="1"/>
  <c r="F24" i="234"/>
  <c r="P27" i="233"/>
  <c r="P29" i="233" s="1"/>
  <c r="P24" i="233"/>
  <c r="O13" i="234"/>
  <c r="B27" i="234"/>
  <c r="B29" i="234" s="1"/>
  <c r="B24" i="234"/>
  <c r="C27" i="234"/>
  <c r="C29" i="234" s="1"/>
  <c r="C24" i="234"/>
  <c r="L27" i="233"/>
  <c r="L29" i="233" s="1"/>
  <c r="L24" i="233"/>
  <c r="O27" i="233"/>
  <c r="O29" i="233" s="1"/>
  <c r="O24" i="233"/>
  <c r="E27" i="234"/>
  <c r="E29" i="234" s="1"/>
  <c r="E24" i="234"/>
  <c r="F24" i="175"/>
  <c r="F27" i="175"/>
  <c r="F29" i="175" s="1"/>
  <c r="D24" i="175"/>
  <c r="D27" i="175"/>
  <c r="D29" i="175" s="1"/>
  <c r="C22" i="191"/>
  <c r="C25" i="191"/>
  <c r="C27" i="191" s="1"/>
  <c r="B22" i="191"/>
  <c r="B25" i="191"/>
  <c r="B27" i="191" s="1"/>
  <c r="B22" i="187"/>
  <c r="B25" i="187"/>
  <c r="B27" i="187" s="1"/>
  <c r="E22" i="190"/>
  <c r="E25" i="190"/>
  <c r="E27" i="190" s="1"/>
  <c r="E22" i="191"/>
  <c r="E25" i="191"/>
  <c r="E27" i="191" s="1"/>
  <c r="B22" i="190"/>
  <c r="B25" i="190"/>
  <c r="B27" i="190" s="1"/>
  <c r="C22" i="187"/>
  <c r="C25" i="187"/>
  <c r="C27" i="187" s="1"/>
  <c r="E22" i="187"/>
  <c r="E25" i="187"/>
  <c r="E27" i="187" s="1"/>
  <c r="B12" i="192"/>
  <c r="B12" i="194"/>
  <c r="D13" i="199"/>
  <c r="B9" i="225"/>
  <c r="B20" i="225" s="1"/>
  <c r="B12" i="224"/>
  <c r="B9" i="196"/>
  <c r="B20" i="196" s="1"/>
  <c r="E9" i="222"/>
  <c r="E19" i="222" s="1"/>
  <c r="E12" i="221"/>
  <c r="C9" i="225"/>
  <c r="C20" i="225" s="1"/>
  <c r="C12" i="224"/>
  <c r="B9" i="222"/>
  <c r="B19" i="222" s="1"/>
  <c r="B12" i="221"/>
  <c r="C12" i="194"/>
  <c r="B12" i="189"/>
  <c r="E12" i="189"/>
  <c r="K9" i="194"/>
  <c r="K19" i="194" s="1"/>
  <c r="K12" i="187"/>
  <c r="D9" i="225"/>
  <c r="D20" i="225" s="1"/>
  <c r="D12" i="224"/>
  <c r="F13" i="199"/>
  <c r="F9" i="225"/>
  <c r="F20" i="225" s="1"/>
  <c r="F12" i="224"/>
  <c r="E9" i="225"/>
  <c r="E20" i="225" s="1"/>
  <c r="E12" i="224"/>
  <c r="C12" i="192"/>
  <c r="C9" i="220"/>
  <c r="C19" i="220" s="1"/>
  <c r="C12" i="223"/>
  <c r="M9" i="194"/>
  <c r="M19" i="194" s="1"/>
  <c r="M12" i="187"/>
  <c r="D9" i="220"/>
  <c r="D19" i="220" s="1"/>
  <c r="D12" i="223"/>
  <c r="J9" i="194"/>
  <c r="J19" i="194" s="1"/>
  <c r="J12" i="187"/>
  <c r="E12" i="192"/>
  <c r="C9" i="222"/>
  <c r="C19" i="222" s="1"/>
  <c r="C12" i="221"/>
  <c r="E12" i="194"/>
  <c r="B9" i="220"/>
  <c r="B19" i="220" s="1"/>
  <c r="B12" i="223"/>
  <c r="C19" i="242" l="1"/>
  <c r="C9" i="243"/>
  <c r="I9" i="242"/>
  <c r="C12" i="242"/>
  <c r="P27" i="199"/>
  <c r="P29" i="199" s="1"/>
  <c r="N13" i="234"/>
  <c r="P13" i="234"/>
  <c r="L13" i="234"/>
  <c r="M13" i="234"/>
  <c r="N27" i="234"/>
  <c r="N29" i="234" s="1"/>
  <c r="N24" i="234"/>
  <c r="M27" i="234"/>
  <c r="M29" i="234" s="1"/>
  <c r="M24" i="234"/>
  <c r="P27" i="234"/>
  <c r="P29" i="234" s="1"/>
  <c r="P24" i="234"/>
  <c r="L27" i="234"/>
  <c r="L29" i="234" s="1"/>
  <c r="L24" i="234"/>
  <c r="O27" i="234"/>
  <c r="O29" i="234" s="1"/>
  <c r="O24" i="234"/>
  <c r="E22" i="194"/>
  <c r="E25" i="194"/>
  <c r="E27" i="194" s="1"/>
  <c r="E22" i="192"/>
  <c r="E25" i="192"/>
  <c r="E27" i="192" s="1"/>
  <c r="C22" i="223"/>
  <c r="C25" i="223"/>
  <c r="C27" i="223" s="1"/>
  <c r="C22" i="192"/>
  <c r="C25" i="192"/>
  <c r="C27" i="192" s="1"/>
  <c r="F27" i="199"/>
  <c r="F29" i="199" s="1"/>
  <c r="K22" i="187"/>
  <c r="K25" i="187"/>
  <c r="K27" i="187" s="1"/>
  <c r="B22" i="189"/>
  <c r="B25" i="189"/>
  <c r="B27" i="189" s="1"/>
  <c r="E22" i="221"/>
  <c r="E25" i="221"/>
  <c r="E27" i="221" s="1"/>
  <c r="D27" i="199"/>
  <c r="D29" i="199" s="1"/>
  <c r="C22" i="221"/>
  <c r="C25" i="221"/>
  <c r="C27" i="221" s="1"/>
  <c r="E22" i="189"/>
  <c r="E25" i="189"/>
  <c r="E27" i="189" s="1"/>
  <c r="B25" i="221"/>
  <c r="B22" i="194"/>
  <c r="B25" i="194"/>
  <c r="B27" i="194" s="1"/>
  <c r="B22" i="223"/>
  <c r="B25" i="223"/>
  <c r="B27" i="223" s="1"/>
  <c r="D22" i="223"/>
  <c r="D25" i="223"/>
  <c r="D27" i="223" s="1"/>
  <c r="M22" i="187"/>
  <c r="M25" i="187"/>
  <c r="M27" i="187" s="1"/>
  <c r="B26" i="42"/>
  <c r="J22" i="187"/>
  <c r="J25" i="187"/>
  <c r="J27" i="187" s="1"/>
  <c r="C22" i="194"/>
  <c r="C25" i="194"/>
  <c r="C27" i="194" s="1"/>
  <c r="B22" i="192"/>
  <c r="B25" i="192"/>
  <c r="B27" i="192" s="1"/>
  <c r="F23" i="224"/>
  <c r="F26" i="224"/>
  <c r="F28" i="224" s="1"/>
  <c r="C23" i="224"/>
  <c r="C26" i="224"/>
  <c r="C28" i="224" s="1"/>
  <c r="D23" i="224"/>
  <c r="D26" i="224"/>
  <c r="D28" i="224" s="1"/>
  <c r="B23" i="224"/>
  <c r="B26" i="224"/>
  <c r="B28" i="224" s="1"/>
  <c r="E23" i="224"/>
  <c r="E26" i="224"/>
  <c r="E28" i="224" s="1"/>
  <c r="J12" i="194"/>
  <c r="C12" i="220"/>
  <c r="N9" i="225"/>
  <c r="N20" i="225" s="1"/>
  <c r="N12" i="224"/>
  <c r="C12" i="222"/>
  <c r="D12" i="220"/>
  <c r="F12" i="225"/>
  <c r="O9" i="225"/>
  <c r="O20" i="225" s="1"/>
  <c r="O12" i="224"/>
  <c r="L9" i="225"/>
  <c r="L20" i="225" s="1"/>
  <c r="L12" i="224"/>
  <c r="B12" i="225"/>
  <c r="K12" i="194"/>
  <c r="C12" i="225"/>
  <c r="H9" i="220"/>
  <c r="H19" i="220" s="1"/>
  <c r="H12" i="223"/>
  <c r="I9" i="220"/>
  <c r="I19" i="220" s="1"/>
  <c r="I12" i="223"/>
  <c r="D12" i="225"/>
  <c r="M9" i="225"/>
  <c r="M20" i="225" s="1"/>
  <c r="M12" i="224"/>
  <c r="B12" i="220"/>
  <c r="M12" i="194"/>
  <c r="E12" i="225"/>
  <c r="P9" i="225"/>
  <c r="P20" i="225" s="1"/>
  <c r="P12" i="224"/>
  <c r="B12" i="222"/>
  <c r="J9" i="220"/>
  <c r="J19" i="220" s="1"/>
  <c r="J12" i="223"/>
  <c r="E12" i="222"/>
  <c r="I19" i="242" l="1"/>
  <c r="I9" i="243"/>
  <c r="I12" i="242"/>
  <c r="C19" i="243"/>
  <c r="C12" i="243"/>
  <c r="C25" i="242"/>
  <c r="C27" i="242" s="1"/>
  <c r="C22" i="242"/>
  <c r="E22" i="222"/>
  <c r="E25" i="222"/>
  <c r="E27" i="222" s="1"/>
  <c r="M22" i="194"/>
  <c r="M25" i="194"/>
  <c r="M27" i="194" s="1"/>
  <c r="B26" i="196"/>
  <c r="K22" i="194"/>
  <c r="K25" i="194"/>
  <c r="K27" i="194" s="1"/>
  <c r="D22" i="220"/>
  <c r="D25" i="220"/>
  <c r="D27" i="220" s="1"/>
  <c r="C22" i="222"/>
  <c r="C25" i="222"/>
  <c r="C27" i="222" s="1"/>
  <c r="B22" i="222"/>
  <c r="B25" i="222"/>
  <c r="B27" i="222" s="1"/>
  <c r="H22" i="223"/>
  <c r="H25" i="223"/>
  <c r="H27" i="223" s="1"/>
  <c r="C22" i="220"/>
  <c r="C25" i="220"/>
  <c r="C27" i="220" s="1"/>
  <c r="B22" i="220"/>
  <c r="B25" i="220"/>
  <c r="B27" i="220" s="1"/>
  <c r="J22" i="223"/>
  <c r="J25" i="223"/>
  <c r="J27" i="223" s="1"/>
  <c r="I22" i="223"/>
  <c r="I25" i="223"/>
  <c r="I27" i="223" s="1"/>
  <c r="J22" i="194"/>
  <c r="J25" i="194"/>
  <c r="J27" i="194" s="1"/>
  <c r="D23" i="225"/>
  <c r="D26" i="225"/>
  <c r="D28" i="225" s="1"/>
  <c r="E23" i="225"/>
  <c r="E26" i="225"/>
  <c r="E28" i="225" s="1"/>
  <c r="C23" i="225"/>
  <c r="C26" i="225"/>
  <c r="C28" i="225" s="1"/>
  <c r="B23" i="225"/>
  <c r="B26" i="225"/>
  <c r="B28" i="225" s="1"/>
  <c r="F23" i="225"/>
  <c r="F26" i="225"/>
  <c r="F28" i="225" s="1"/>
  <c r="P23" i="224"/>
  <c r="P26" i="224"/>
  <c r="P28" i="224" s="1"/>
  <c r="N23" i="224"/>
  <c r="N26" i="224"/>
  <c r="N28" i="224" s="1"/>
  <c r="L23" i="224"/>
  <c r="L26" i="224"/>
  <c r="L28" i="224" s="1"/>
  <c r="O23" i="224"/>
  <c r="O26" i="224"/>
  <c r="O28" i="224" s="1"/>
  <c r="M23" i="224"/>
  <c r="M26" i="224"/>
  <c r="M28" i="224" s="1"/>
  <c r="P12" i="225"/>
  <c r="L12" i="225"/>
  <c r="N12" i="225"/>
  <c r="M12" i="225"/>
  <c r="I12" i="220"/>
  <c r="H12" i="220"/>
  <c r="O12" i="225"/>
  <c r="J12" i="220"/>
  <c r="I19" i="243" l="1"/>
  <c r="I12" i="243"/>
  <c r="C25" i="243"/>
  <c r="C27" i="243" s="1"/>
  <c r="C22" i="243"/>
  <c r="I25" i="242"/>
  <c r="I27" i="242" s="1"/>
  <c r="I22" i="242"/>
  <c r="I22" i="220"/>
  <c r="I25" i="220"/>
  <c r="I27" i="220" s="1"/>
  <c r="H22" i="220"/>
  <c r="H25" i="220"/>
  <c r="H27" i="220" s="1"/>
  <c r="J22" i="220"/>
  <c r="J25" i="220"/>
  <c r="J27" i="220" s="1"/>
  <c r="M23" i="225"/>
  <c r="M26" i="225"/>
  <c r="M28" i="225" s="1"/>
  <c r="N23" i="225"/>
  <c r="N26" i="225"/>
  <c r="N28" i="225" s="1"/>
  <c r="P23" i="225"/>
  <c r="P26" i="225"/>
  <c r="P28" i="225" s="1"/>
  <c r="O23" i="225"/>
  <c r="O26" i="225"/>
  <c r="O28" i="225" s="1"/>
  <c r="L23" i="225"/>
  <c r="L26" i="225"/>
  <c r="L28" i="225" s="1"/>
  <c r="I25" i="243" l="1"/>
  <c r="I27" i="243" s="1"/>
  <c r="I22" i="243"/>
  <c r="B32" i="217"/>
  <c r="B15" i="165" l="1"/>
  <c r="E15" i="165" s="1"/>
  <c r="E15" i="164"/>
  <c r="E14" i="164"/>
  <c r="B14" i="165"/>
  <c r="E14" i="165" s="1"/>
  <c r="E13" i="164"/>
  <c r="B13" i="165"/>
  <c r="E13" i="165" s="1"/>
  <c r="E12" i="164"/>
  <c r="B12" i="165"/>
  <c r="R12" i="165" s="1"/>
  <c r="Z12" i="165" l="1"/>
  <c r="B12" i="33"/>
  <c r="E12" i="33" s="1"/>
  <c r="R15" i="165"/>
  <c r="R14" i="165"/>
  <c r="B14" i="33" s="1"/>
  <c r="E14" i="33" s="1"/>
  <c r="R13" i="165"/>
  <c r="U12" i="165"/>
  <c r="E12" i="165"/>
  <c r="B39" i="165"/>
  <c r="E39" i="165" s="1"/>
  <c r="E41" i="165" s="1"/>
  <c r="AC12" i="165" l="1"/>
  <c r="U13" i="165"/>
  <c r="B13" i="33"/>
  <c r="E13" i="33" s="1"/>
  <c r="U15" i="165"/>
  <c r="B15" i="33"/>
  <c r="E15" i="33" s="1"/>
  <c r="Z13" i="165"/>
  <c r="AC13" i="165" s="1"/>
  <c r="Z15" i="165"/>
  <c r="R39" i="165"/>
  <c r="U39" i="165" s="1"/>
  <c r="U41" i="165" s="1"/>
  <c r="U14" i="165"/>
  <c r="Z14" i="165"/>
  <c r="AC14" i="165" s="1"/>
  <c r="B7" i="244" l="1"/>
  <c r="Z39" i="165"/>
  <c r="AC39" i="165" s="1"/>
  <c r="AC41" i="165" s="1"/>
  <c r="J13" i="33"/>
  <c r="M13" i="33" s="1"/>
  <c r="AC15" i="165"/>
  <c r="J12" i="33"/>
  <c r="M12" i="33" s="1"/>
  <c r="J14" i="33"/>
  <c r="M14" i="33" s="1"/>
  <c r="J15" i="33"/>
  <c r="M15" i="33" s="1"/>
  <c r="B8" i="42" l="1"/>
  <c r="B19" i="42" s="1"/>
  <c r="B12" i="42" l="1"/>
  <c r="B8" i="196"/>
  <c r="B19" i="196" s="1"/>
  <c r="B23" i="42"/>
  <c r="B25" i="42"/>
  <c r="B28" i="42" s="1"/>
  <c r="B12" i="196" l="1"/>
  <c r="B23" i="196"/>
  <c r="B25" i="196"/>
  <c r="B28" i="196" s="1"/>
  <c r="Y11" i="236" l="1"/>
  <c r="Y21" i="236"/>
  <c r="Y7" i="236"/>
  <c r="Y25" i="236"/>
  <c r="Y23" i="236"/>
  <c r="Y9" i="236"/>
  <c r="Y33" i="236"/>
  <c r="Y35" i="236"/>
  <c r="Y29" i="236"/>
  <c r="Y28" i="236"/>
  <c r="Y26" i="236"/>
  <c r="Y10" i="236"/>
  <c r="Y34" i="236"/>
  <c r="Y17" i="236"/>
  <c r="Y19" i="236"/>
  <c r="Y16" i="236"/>
  <c r="Y12" i="236"/>
  <c r="Y15" i="236"/>
  <c r="Y8" i="236"/>
  <c r="Y24" i="236"/>
  <c r="Y14" i="236"/>
  <c r="Y36" i="236"/>
  <c r="Y30" i="236"/>
  <c r="Y32" i="236"/>
  <c r="Y22" i="236"/>
  <c r="Y27" i="236"/>
  <c r="Y18" i="236"/>
  <c r="Y37" i="236"/>
  <c r="Y31" i="236"/>
  <c r="Y20" i="236"/>
  <c r="Y13" i="236"/>
  <c r="G19" i="41" l="1"/>
  <c r="AA20" i="159"/>
  <c r="Y20" i="79"/>
  <c r="G36" i="41"/>
  <c r="AA37" i="159"/>
  <c r="Y37" i="79"/>
  <c r="Y27" i="79"/>
  <c r="G26" i="41"/>
  <c r="AA27" i="159"/>
  <c r="AA32" i="159"/>
  <c r="G31" i="41"/>
  <c r="Y32" i="79"/>
  <c r="Y36" i="79"/>
  <c r="AA36" i="159"/>
  <c r="G35" i="41"/>
  <c r="AA24" i="159"/>
  <c r="Y24" i="79"/>
  <c r="G23" i="41"/>
  <c r="G15" i="41"/>
  <c r="AA16" i="159"/>
  <c r="Y16" i="79"/>
  <c r="AA17" i="159"/>
  <c r="G16" i="41"/>
  <c r="Y17" i="79"/>
  <c r="AA10" i="159"/>
  <c r="G9" i="41"/>
  <c r="Y10" i="79"/>
  <c r="AA28" i="159"/>
  <c r="Y28" i="79"/>
  <c r="G27" i="41"/>
  <c r="G34" i="41"/>
  <c r="AA35" i="159"/>
  <c r="Y35" i="79"/>
  <c r="Y9" i="79"/>
  <c r="AA9" i="159"/>
  <c r="G8" i="41"/>
  <c r="Y21" i="79"/>
  <c r="G20" i="41"/>
  <c r="AA21" i="159"/>
  <c r="G14" i="41"/>
  <c r="AA15" i="159"/>
  <c r="Y15" i="79"/>
  <c r="G24" i="41"/>
  <c r="Y25" i="79"/>
  <c r="AA25" i="159"/>
  <c r="G12" i="41"/>
  <c r="AA13" i="159"/>
  <c r="Y13" i="79"/>
  <c r="AA31" i="159"/>
  <c r="Y31" i="79"/>
  <c r="G30" i="41"/>
  <c r="AA18" i="159"/>
  <c r="G17" i="41"/>
  <c r="I17" i="41" s="1"/>
  <c r="Y18" i="79"/>
  <c r="Y12" i="79"/>
  <c r="AA12" i="159"/>
  <c r="G11" i="41"/>
  <c r="G18" i="41"/>
  <c r="AA19" i="159"/>
  <c r="Y19" i="79"/>
  <c r="AA26" i="159"/>
  <c r="G25" i="41"/>
  <c r="Y26" i="79"/>
  <c r="G28" i="41"/>
  <c r="AA29" i="159"/>
  <c r="Y29" i="79"/>
  <c r="AA7" i="159"/>
  <c r="G6" i="41"/>
  <c r="Y7" i="79"/>
  <c r="AA22" i="159"/>
  <c r="Y22" i="79"/>
  <c r="G21" i="41"/>
  <c r="Y30" i="79"/>
  <c r="G29" i="41"/>
  <c r="AA30" i="159"/>
  <c r="G13" i="41"/>
  <c r="AA14" i="159"/>
  <c r="Y14" i="79"/>
  <c r="AA8" i="159"/>
  <c r="G7" i="41"/>
  <c r="Y8" i="79"/>
  <c r="Y34" i="79"/>
  <c r="AA34" i="159"/>
  <c r="G33" i="41"/>
  <c r="G32" i="41"/>
  <c r="AA33" i="159"/>
  <c r="Y33" i="79"/>
  <c r="AA23" i="159"/>
  <c r="G22" i="41"/>
  <c r="Y23" i="79"/>
  <c r="Y11" i="79"/>
  <c r="G10" i="41"/>
  <c r="AA11" i="159"/>
  <c r="AC11" i="159" l="1"/>
  <c r="AE11" i="159"/>
  <c r="AG11" i="159" s="1"/>
  <c r="I32" i="41"/>
  <c r="K32" i="41"/>
  <c r="M32" i="41" s="1"/>
  <c r="K11" i="41"/>
  <c r="M11" i="41" s="1"/>
  <c r="I11" i="41"/>
  <c r="AC25" i="159"/>
  <c r="AE25" i="159"/>
  <c r="AG25" i="159" s="1"/>
  <c r="K10" i="41"/>
  <c r="M10" i="41" s="1"/>
  <c r="I10" i="41"/>
  <c r="AC23" i="159"/>
  <c r="AE23" i="159"/>
  <c r="AG23" i="159" s="1"/>
  <c r="I33" i="41"/>
  <c r="K33" i="41"/>
  <c r="M33" i="41" s="1"/>
  <c r="K7" i="41"/>
  <c r="M7" i="41" s="1"/>
  <c r="I7" i="41"/>
  <c r="I13" i="41"/>
  <c r="K13" i="41"/>
  <c r="M13" i="41" s="1"/>
  <c r="I21" i="41"/>
  <c r="K21" i="41"/>
  <c r="M21" i="41" s="1"/>
  <c r="G39" i="41"/>
  <c r="I39" i="41" s="1"/>
  <c r="I44" i="41" s="1"/>
  <c r="I6" i="41"/>
  <c r="K6" i="41"/>
  <c r="G38" i="41"/>
  <c r="K28" i="41"/>
  <c r="M28" i="41" s="1"/>
  <c r="I28" i="41"/>
  <c r="AC12" i="159"/>
  <c r="AE12" i="159"/>
  <c r="AG12" i="159" s="1"/>
  <c r="AC18" i="159"/>
  <c r="AE18" i="159"/>
  <c r="AG18" i="159" s="1"/>
  <c r="K14" i="41"/>
  <c r="M14" i="41" s="1"/>
  <c r="I14" i="41"/>
  <c r="K8" i="41"/>
  <c r="M8" i="41" s="1"/>
  <c r="I8" i="41"/>
  <c r="AC35" i="159"/>
  <c r="AE35" i="159"/>
  <c r="AA42" i="159"/>
  <c r="AC28" i="159"/>
  <c r="AE28" i="159"/>
  <c r="AG28" i="159" s="1"/>
  <c r="AC16" i="159"/>
  <c r="AE16" i="159"/>
  <c r="AG16" i="159" s="1"/>
  <c r="AC24" i="159"/>
  <c r="AE24" i="159"/>
  <c r="AG24" i="159" s="1"/>
  <c r="K26" i="41"/>
  <c r="M26" i="41" s="1"/>
  <c r="I26" i="41"/>
  <c r="K36" i="41"/>
  <c r="M36" i="41" s="1"/>
  <c r="I36" i="41"/>
  <c r="AC33" i="159"/>
  <c r="AE33" i="159"/>
  <c r="AG33" i="159" s="1"/>
  <c r="I29" i="41"/>
  <c r="K29" i="41"/>
  <c r="M29" i="41" s="1"/>
  <c r="I22" i="41"/>
  <c r="K22" i="41"/>
  <c r="M22" i="41" s="1"/>
  <c r="AC14" i="159"/>
  <c r="AE14" i="159"/>
  <c r="AG14" i="159" s="1"/>
  <c r="AC29" i="159"/>
  <c r="AE29" i="159"/>
  <c r="AG29" i="159" s="1"/>
  <c r="AC26" i="159"/>
  <c r="AE26" i="159"/>
  <c r="AG26" i="159" s="1"/>
  <c r="AC31" i="159"/>
  <c r="AE31" i="159"/>
  <c r="AG31" i="159" s="1"/>
  <c r="AE34" i="159"/>
  <c r="AG34" i="159" s="1"/>
  <c r="AC34" i="159"/>
  <c r="AC8" i="159"/>
  <c r="AE8" i="159"/>
  <c r="AG8" i="159" s="1"/>
  <c r="AC30" i="159"/>
  <c r="AE30" i="159"/>
  <c r="AG30" i="159" s="1"/>
  <c r="AA40" i="159"/>
  <c r="AC7" i="159"/>
  <c r="AA39" i="159"/>
  <c r="AE7" i="159"/>
  <c r="AC19" i="159"/>
  <c r="AE19" i="159"/>
  <c r="AG19" i="159" s="1"/>
  <c r="K30" i="41"/>
  <c r="M30" i="41" s="1"/>
  <c r="I30" i="41"/>
  <c r="AC13" i="159"/>
  <c r="AE13" i="159"/>
  <c r="AG13" i="159" s="1"/>
  <c r="K24" i="41"/>
  <c r="I24" i="41"/>
  <c r="AC21" i="159"/>
  <c r="AA41" i="159"/>
  <c r="AE21" i="159"/>
  <c r="AC9" i="159"/>
  <c r="AE9" i="159"/>
  <c r="AG9" i="159" s="1"/>
  <c r="K34" i="41"/>
  <c r="G41" i="41"/>
  <c r="I34" i="41"/>
  <c r="K16" i="41"/>
  <c r="M16" i="41" s="1"/>
  <c r="I16" i="41"/>
  <c r="I15" i="41"/>
  <c r="K15" i="41"/>
  <c r="M15" i="41" s="1"/>
  <c r="I35" i="41"/>
  <c r="K35" i="41"/>
  <c r="M35" i="41" s="1"/>
  <c r="I31" i="41"/>
  <c r="K31" i="41"/>
  <c r="M31" i="41" s="1"/>
  <c r="AC22" i="159"/>
  <c r="AE22" i="159"/>
  <c r="AG22" i="159" s="1"/>
  <c r="I25" i="41"/>
  <c r="K25" i="41"/>
  <c r="M25" i="41" s="1"/>
  <c r="I18" i="41"/>
  <c r="K18" i="41"/>
  <c r="M18" i="41" s="1"/>
  <c r="K12" i="41"/>
  <c r="M12" i="41" s="1"/>
  <c r="I12" i="41"/>
  <c r="K20" i="41"/>
  <c r="I20" i="41"/>
  <c r="G40" i="41"/>
  <c r="I27" i="41"/>
  <c r="K27" i="41"/>
  <c r="M27" i="41" s="1"/>
  <c r="I9" i="41"/>
  <c r="K9" i="41"/>
  <c r="M9" i="41" s="1"/>
  <c r="AC17" i="159"/>
  <c r="AE17" i="159"/>
  <c r="AG17" i="159" s="1"/>
  <c r="I23" i="41"/>
  <c r="K23" i="41"/>
  <c r="M23" i="41" s="1"/>
  <c r="AE36" i="159"/>
  <c r="AG36" i="159" s="1"/>
  <c r="AC36" i="159"/>
  <c r="AC32" i="159"/>
  <c r="AE32" i="159"/>
  <c r="AG32" i="159" s="1"/>
  <c r="AC20" i="159"/>
  <c r="AE20" i="159"/>
  <c r="AG20" i="159" s="1"/>
  <c r="AC15" i="159"/>
  <c r="AE15" i="159"/>
  <c r="AG15" i="159" s="1"/>
  <c r="AC10" i="159"/>
  <c r="AE10" i="159"/>
  <c r="AG10" i="159" s="1"/>
  <c r="AC27" i="159"/>
  <c r="AE27" i="159"/>
  <c r="AG27" i="159" s="1"/>
  <c r="AE37" i="159"/>
  <c r="AG37" i="159" s="1"/>
  <c r="AC37" i="159"/>
  <c r="K19" i="41"/>
  <c r="M19" i="41" s="1"/>
  <c r="I19" i="41"/>
  <c r="M24" i="41" l="1"/>
  <c r="I40" i="41"/>
  <c r="I45" i="41" s="1"/>
  <c r="I41" i="41"/>
  <c r="I46" i="41" s="1"/>
  <c r="AG21" i="159"/>
  <c r="AE41" i="159"/>
  <c r="AC39" i="159"/>
  <c r="AC44" i="159" s="1"/>
  <c r="K41" i="41"/>
  <c r="M34" i="41"/>
  <c r="AC41" i="159"/>
  <c r="AC46" i="159" s="1"/>
  <c r="K39" i="41"/>
  <c r="M39" i="41" s="1"/>
  <c r="M44" i="41" s="1"/>
  <c r="M6" i="41"/>
  <c r="K38" i="41"/>
  <c r="M20" i="41"/>
  <c r="K40" i="41"/>
  <c r="AC42" i="159"/>
  <c r="AC47" i="159" s="1"/>
  <c r="AG7" i="159"/>
  <c r="AE39" i="159"/>
  <c r="AE40" i="159"/>
  <c r="AC40" i="159"/>
  <c r="AC45" i="159" s="1"/>
  <c r="AE42" i="159"/>
  <c r="AG35" i="159"/>
  <c r="I38" i="41"/>
  <c r="I43" i="41" s="1"/>
  <c r="Q9" i="191" l="1"/>
  <c r="Q19" i="191" s="1"/>
  <c r="AG39" i="159"/>
  <c r="AG44" i="159" s="1"/>
  <c r="AG42" i="159"/>
  <c r="AG47" i="159" s="1"/>
  <c r="K9" i="193"/>
  <c r="K19" i="193" s="1"/>
  <c r="M40" i="41"/>
  <c r="M45" i="41" s="1"/>
  <c r="H9" i="184"/>
  <c r="H19" i="184" s="1"/>
  <c r="M9" i="193"/>
  <c r="M19" i="193" s="1"/>
  <c r="M38" i="41"/>
  <c r="M43" i="41" s="1"/>
  <c r="M41" i="41"/>
  <c r="M46" i="41" s="1"/>
  <c r="AG41" i="159"/>
  <c r="AG46" i="159" s="1"/>
  <c r="O9" i="191"/>
  <c r="O19" i="191" s="1"/>
  <c r="I9" i="184"/>
  <c r="I19" i="184" s="1"/>
  <c r="N9" i="191"/>
  <c r="N19" i="191" s="1"/>
  <c r="AG40" i="159"/>
  <c r="AG45" i="159" s="1"/>
  <c r="G9" i="184"/>
  <c r="G19" i="184" s="1"/>
  <c r="G12" i="184" l="1"/>
  <c r="H12" i="184"/>
  <c r="I12" i="184"/>
  <c r="L9" i="184"/>
  <c r="L19" i="184" s="1"/>
  <c r="M9" i="184"/>
  <c r="M19" i="184" s="1"/>
  <c r="M12" i="193"/>
  <c r="N9" i="192"/>
  <c r="N19" i="192" s="1"/>
  <c r="N9" i="221"/>
  <c r="N19" i="221" s="1"/>
  <c r="N12" i="191"/>
  <c r="O9" i="192"/>
  <c r="O19" i="192" s="1"/>
  <c r="O9" i="221"/>
  <c r="O19" i="221" s="1"/>
  <c r="O12" i="191"/>
  <c r="K9" i="184"/>
  <c r="K19" i="184" s="1"/>
  <c r="K12" i="193"/>
  <c r="Q12" i="191"/>
  <c r="Q9" i="221"/>
  <c r="Q19" i="221" s="1"/>
  <c r="Q9" i="192"/>
  <c r="Q19" i="192" s="1"/>
  <c r="Q12" i="192" l="1"/>
  <c r="K22" i="193"/>
  <c r="K25" i="193"/>
  <c r="K27" i="193" s="1"/>
  <c r="H22" i="184"/>
  <c r="H25" i="184"/>
  <c r="H27" i="184" s="1"/>
  <c r="Q9" i="222"/>
  <c r="Q19" i="222" s="1"/>
  <c r="Q12" i="221"/>
  <c r="O9" i="222"/>
  <c r="O19" i="222" s="1"/>
  <c r="O12" i="221"/>
  <c r="N9" i="222"/>
  <c r="N19" i="222" s="1"/>
  <c r="N12" i="221"/>
  <c r="M12" i="184"/>
  <c r="I22" i="184"/>
  <c r="I25" i="184"/>
  <c r="I27" i="184" s="1"/>
  <c r="O12" i="192"/>
  <c r="N12" i="192"/>
  <c r="M25" i="193"/>
  <c r="M27" i="193" s="1"/>
  <c r="M22" i="193"/>
  <c r="P9" i="222"/>
  <c r="P19" i="222" s="1"/>
  <c r="L12" i="184"/>
  <c r="Q22" i="191"/>
  <c r="Q25" i="191"/>
  <c r="Q27" i="191" s="1"/>
  <c r="K12" i="184"/>
  <c r="O25" i="191"/>
  <c r="O27" i="191" s="1"/>
  <c r="O22" i="191"/>
  <c r="N22" i="191"/>
  <c r="N25" i="191"/>
  <c r="N27" i="191" s="1"/>
  <c r="G25" i="184"/>
  <c r="G27" i="184" s="1"/>
  <c r="G22" i="184"/>
  <c r="P12" i="222" l="1"/>
  <c r="M22" i="184"/>
  <c r="M25" i="184"/>
  <c r="M27" i="184" s="1"/>
  <c r="Q12" i="222"/>
  <c r="K22" i="184"/>
  <c r="K25" i="184"/>
  <c r="K27" i="184" s="1"/>
  <c r="L22" i="184"/>
  <c r="L25" i="184"/>
  <c r="L27" i="184" s="1"/>
  <c r="N22" i="192"/>
  <c r="N25" i="192"/>
  <c r="N27" i="192" s="1"/>
  <c r="O12" i="222"/>
  <c r="Q22" i="221"/>
  <c r="Q25" i="221"/>
  <c r="Q27" i="221" s="1"/>
  <c r="N12" i="222"/>
  <c r="O22" i="221"/>
  <c r="O25" i="221"/>
  <c r="O27" i="221" s="1"/>
  <c r="O22" i="192"/>
  <c r="O25" i="192"/>
  <c r="O27" i="192" s="1"/>
  <c r="N25" i="221"/>
  <c r="N27" i="221" s="1"/>
  <c r="N22" i="221"/>
  <c r="Q22" i="192"/>
  <c r="Q25" i="192"/>
  <c r="Q27" i="192" s="1"/>
  <c r="O22" i="222" l="1"/>
  <c r="O25" i="222"/>
  <c r="O27" i="222" s="1"/>
  <c r="P22" i="222"/>
  <c r="P25" i="222"/>
  <c r="P27" i="222" s="1"/>
  <c r="N22" i="222"/>
  <c r="N25" i="222"/>
  <c r="N27" i="222" s="1"/>
  <c r="Q22" i="222"/>
  <c r="Q25" i="222"/>
  <c r="Q27" i="222" s="1"/>
  <c r="B22" i="221" l="1"/>
  <c r="B24" i="221"/>
  <c r="B27" i="221" s="1"/>
  <c r="D39" i="33"/>
  <c r="B39" i="33" l="1"/>
  <c r="J29" i="33"/>
  <c r="L29" i="33"/>
  <c r="L39" i="33" s="1"/>
  <c r="L10" i="42" s="1"/>
  <c r="B10" i="242" s="1"/>
  <c r="H10" i="242" l="1"/>
  <c r="B20" i="242"/>
  <c r="B26" i="242" s="1"/>
  <c r="B10" i="243"/>
  <c r="B20" i="243" s="1"/>
  <c r="B26" i="243" s="1"/>
  <c r="D10" i="242"/>
  <c r="J39" i="33"/>
  <c r="M10" i="42"/>
  <c r="L21" i="42"/>
  <c r="L27" i="42" s="1"/>
  <c r="L10" i="196"/>
  <c r="L21" i="196" s="1"/>
  <c r="L27" i="196" s="1"/>
  <c r="D10" i="243" l="1"/>
  <c r="D20" i="243" s="1"/>
  <c r="D26" i="243" s="1"/>
  <c r="D20" i="242"/>
  <c r="D26" i="242" s="1"/>
  <c r="H20" i="242"/>
  <c r="H26" i="242" s="1"/>
  <c r="H10" i="243"/>
  <c r="H20" i="243" s="1"/>
  <c r="H26" i="243" s="1"/>
  <c r="J10" i="242"/>
  <c r="L8" i="42"/>
  <c r="B8" i="242" s="1"/>
  <c r="M10" i="196"/>
  <c r="C39" i="33"/>
  <c r="E39" i="33" s="1"/>
  <c r="K29" i="33"/>
  <c r="B18" i="242" l="1"/>
  <c r="H8" i="242"/>
  <c r="B8" i="243"/>
  <c r="D8" i="242"/>
  <c r="J10" i="243"/>
  <c r="J20" i="243" s="1"/>
  <c r="J26" i="243" s="1"/>
  <c r="J20" i="242"/>
  <c r="J26" i="242" s="1"/>
  <c r="M8" i="42"/>
  <c r="L19" i="42"/>
  <c r="L8" i="196"/>
  <c r="K39" i="33"/>
  <c r="M29" i="33"/>
  <c r="D18" i="242" l="1"/>
  <c r="D8" i="243"/>
  <c r="B18" i="243"/>
  <c r="H8" i="243"/>
  <c r="H18" i="242"/>
  <c r="J8" i="242"/>
  <c r="B24" i="242"/>
  <c r="L25" i="42"/>
  <c r="L9" i="42"/>
  <c r="B9" i="242" s="1"/>
  <c r="M39" i="33"/>
  <c r="L19" i="196"/>
  <c r="M8" i="196"/>
  <c r="H18" i="243" l="1"/>
  <c r="H24" i="242"/>
  <c r="D18" i="243"/>
  <c r="B9" i="243"/>
  <c r="B19" i="242"/>
  <c r="H9" i="242"/>
  <c r="D9" i="242"/>
  <c r="B12" i="242"/>
  <c r="J18" i="242"/>
  <c r="J8" i="243"/>
  <c r="B24" i="243"/>
  <c r="D24" i="242"/>
  <c r="L9" i="196"/>
  <c r="L20" i="42"/>
  <c r="M9" i="42"/>
  <c r="L12" i="42"/>
  <c r="M12" i="42" s="1"/>
  <c r="L25" i="196"/>
  <c r="B19" i="243" l="1"/>
  <c r="B12" i="243"/>
  <c r="H9" i="243"/>
  <c r="H19" i="242"/>
  <c r="J9" i="242"/>
  <c r="H12" i="242"/>
  <c r="D24" i="243"/>
  <c r="D9" i="243"/>
  <c r="D19" i="242"/>
  <c r="D12" i="242"/>
  <c r="J18" i="243"/>
  <c r="J24" i="242"/>
  <c r="B25" i="242"/>
  <c r="B27" i="242" s="1"/>
  <c r="B22" i="242"/>
  <c r="H24" i="243"/>
  <c r="L26" i="42"/>
  <c r="L28" i="42" s="1"/>
  <c r="L23" i="42"/>
  <c r="L20" i="196"/>
  <c r="M9" i="196"/>
  <c r="L12" i="196"/>
  <c r="M12" i="196" s="1"/>
  <c r="J24" i="243" l="1"/>
  <c r="D19" i="243"/>
  <c r="D12" i="243"/>
  <c r="J9" i="243"/>
  <c r="J19" i="242"/>
  <c r="J12" i="242"/>
  <c r="D25" i="242"/>
  <c r="D27" i="242" s="1"/>
  <c r="D22" i="242"/>
  <c r="H25" i="242"/>
  <c r="H27" i="242" s="1"/>
  <c r="H22" i="242"/>
  <c r="B25" i="243"/>
  <c r="B27" i="243" s="1"/>
  <c r="B22" i="243"/>
  <c r="H19" i="243"/>
  <c r="H12" i="243"/>
  <c r="L26" i="196"/>
  <c r="L28" i="196" s="1"/>
  <c r="L23" i="196"/>
  <c r="D25" i="243" l="1"/>
  <c r="D27" i="243" s="1"/>
  <c r="D22" i="243"/>
  <c r="J25" i="242"/>
  <c r="J27" i="242" s="1"/>
  <c r="J22" i="242"/>
  <c r="H25" i="243"/>
  <c r="H27" i="243" s="1"/>
  <c r="H22" i="243"/>
  <c r="J19" i="243"/>
  <c r="J12" i="243"/>
  <c r="J23" i="143"/>
  <c r="J26" i="143"/>
  <c r="J10" i="143"/>
  <c r="G29" i="184"/>
  <c r="G31" i="184" s="1"/>
  <c r="G35" i="184" s="1"/>
  <c r="J11" i="143"/>
  <c r="J13" i="143"/>
  <c r="H29" i="184"/>
  <c r="H31" i="184" s="1"/>
  <c r="H35" i="184" s="1"/>
  <c r="J24" i="143"/>
  <c r="I29" i="184"/>
  <c r="I31" i="184" s="1"/>
  <c r="I35" i="184" s="1"/>
  <c r="J25" i="243" l="1"/>
  <c r="J27" i="243" s="1"/>
  <c r="J22" i="243"/>
  <c r="H29" i="222"/>
  <c r="H31" i="222" s="1"/>
  <c r="H35" i="222" s="1"/>
  <c r="L29" i="184" l="1"/>
  <c r="L31" i="184" s="1"/>
  <c r="L35" i="184" s="1"/>
  <c r="B61" i="143"/>
  <c r="B63" i="143" s="1"/>
  <c r="P29" i="222" l="1"/>
  <c r="P31" i="222" s="1"/>
  <c r="P35" i="222" s="1"/>
  <c r="E28" i="244" l="1"/>
  <c r="O7" i="244" l="1"/>
  <c r="O6" i="244"/>
  <c r="L7" i="244"/>
  <c r="H35" i="244" s="1"/>
  <c r="B35" i="217" l="1"/>
  <c r="A25" i="242" l="1"/>
  <c r="A25" i="243"/>
  <c r="A27" i="234"/>
  <c r="A27" i="233"/>
  <c r="A25" i="229"/>
  <c r="A25" i="230"/>
  <c r="A27" i="199"/>
  <c r="A25" i="184"/>
  <c r="A25" i="192"/>
  <c r="A25" i="222"/>
  <c r="A26" i="224"/>
  <c r="A25" i="189"/>
  <c r="A26" i="225"/>
  <c r="A27" i="175"/>
  <c r="A25" i="193"/>
  <c r="A25" i="223"/>
  <c r="A25" i="187"/>
  <c r="A25" i="190"/>
  <c r="A25" i="221"/>
  <c r="A25" i="191"/>
  <c r="A26" i="196"/>
  <c r="A25" i="220"/>
  <c r="A25" i="194"/>
  <c r="A24" i="243"/>
  <c r="A24" i="242"/>
  <c r="A26" i="233"/>
  <c r="A26" i="234"/>
  <c r="A24" i="229"/>
  <c r="A24" i="230"/>
  <c r="A26" i="175"/>
  <c r="A24" i="193"/>
  <c r="A24" i="191"/>
  <c r="A24" i="221"/>
  <c r="A24" i="190"/>
  <c r="A24" i="220"/>
  <c r="A24" i="189"/>
  <c r="A25" i="225"/>
  <c r="A26" i="199"/>
  <c r="A24" i="184"/>
  <c r="A24" i="192"/>
  <c r="A24" i="222"/>
  <c r="A25" i="196"/>
  <c r="A25" i="224"/>
  <c r="A24" i="194"/>
  <c r="A24" i="223"/>
  <c r="A24" i="187"/>
  <c r="A26" i="243" l="1"/>
  <c r="A26" i="242"/>
  <c r="A28" i="234"/>
  <c r="A28" i="233"/>
  <c r="A26" i="230"/>
  <c r="A26" i="229"/>
  <c r="A26" i="223"/>
  <c r="A26" i="187"/>
  <c r="A26" i="190"/>
  <c r="A27" i="196"/>
  <c r="A26" i="192"/>
  <c r="A26" i="222"/>
  <c r="A26" i="220"/>
  <c r="A26" i="194"/>
  <c r="A26" i="189"/>
  <c r="A27" i="225"/>
  <c r="A27" i="224"/>
  <c r="A26" i="191"/>
  <c r="A28" i="199"/>
  <c r="A26" i="184"/>
  <c r="A26" i="221"/>
  <c r="A28" i="175"/>
  <c r="A26" i="193"/>
  <c r="J33" i="245" l="1"/>
  <c r="B32" i="224" l="1"/>
  <c r="B34" i="225" s="1"/>
  <c r="L33" i="233"/>
  <c r="B35" i="234"/>
  <c r="N33" i="233"/>
  <c r="D35" i="234"/>
  <c r="P33" i="233"/>
  <c r="F35" i="234"/>
  <c r="E32" i="224"/>
  <c r="E34" i="225" s="1"/>
  <c r="O33" i="233"/>
  <c r="E35" i="234"/>
  <c r="M33" i="233"/>
  <c r="C35" i="234"/>
  <c r="C32" i="224"/>
  <c r="C34" i="225" s="1"/>
  <c r="N35" i="234" l="1"/>
  <c r="O32" i="224"/>
  <c r="O34" i="225" s="1"/>
  <c r="O35" i="234"/>
  <c r="P35" i="234"/>
  <c r="L32" i="224"/>
  <c r="L34" i="225" s="1"/>
  <c r="L35" i="234"/>
  <c r="M32" i="224"/>
  <c r="M34" i="225" s="1"/>
  <c r="M35" i="234"/>
  <c r="E33" i="194" l="1"/>
  <c r="E33" i="192"/>
  <c r="M33" i="194"/>
  <c r="B33" i="192"/>
  <c r="Q33" i="192"/>
  <c r="I33" i="194"/>
  <c r="K33" i="194"/>
  <c r="J33" i="194"/>
  <c r="C33" i="194"/>
  <c r="M33" i="184"/>
  <c r="F33" i="194"/>
  <c r="K33" i="184"/>
  <c r="C33" i="192"/>
  <c r="E33" i="184"/>
  <c r="G33" i="194"/>
  <c r="C33" i="184"/>
  <c r="N33" i="192"/>
  <c r="B33" i="194"/>
  <c r="F33" i="192" l="1"/>
  <c r="F31" i="221"/>
  <c r="F33" i="222" s="1"/>
  <c r="G33" i="192"/>
  <c r="G31" i="221"/>
  <c r="G33" i="222" s="1"/>
  <c r="I33" i="192"/>
  <c r="I31" i="221"/>
  <c r="E31" i="190"/>
  <c r="B33" i="189"/>
  <c r="E33" i="189" s="1"/>
  <c r="B31" i="221"/>
  <c r="N31" i="221"/>
  <c r="N33" i="222" s="1"/>
  <c r="P33" i="175"/>
  <c r="F35" i="199"/>
  <c r="F32" i="224"/>
  <c r="F34" i="225" s="1"/>
  <c r="O31" i="221"/>
  <c r="O33" i="222" s="1"/>
  <c r="O33" i="192"/>
  <c r="D35" i="199"/>
  <c r="N33" i="175"/>
  <c r="D32" i="224"/>
  <c r="D34" i="225" s="1"/>
  <c r="I31" i="223" l="1"/>
  <c r="I33" i="220" s="1"/>
  <c r="I33" i="230"/>
  <c r="N35" i="199"/>
  <c r="N32" i="224"/>
  <c r="N34" i="225" s="1"/>
  <c r="H33" i="230"/>
  <c r="H31" i="223"/>
  <c r="H33" i="220" s="1"/>
  <c r="B31" i="223"/>
  <c r="B33" i="220" s="1"/>
  <c r="B33" i="230"/>
  <c r="P35" i="199"/>
  <c r="P32" i="224"/>
  <c r="P34" i="225" s="1"/>
  <c r="C31" i="221"/>
  <c r="C33" i="222" s="1"/>
  <c r="E31" i="221"/>
  <c r="E33" i="222" s="1"/>
  <c r="Q31" i="221"/>
  <c r="Q33" i="222" s="1"/>
  <c r="D31" i="223"/>
  <c r="D33" i="220" s="1"/>
  <c r="D33" i="230"/>
  <c r="F31" i="242"/>
  <c r="I33" i="222"/>
  <c r="C33" i="230"/>
  <c r="C31" i="223"/>
  <c r="C33" i="220" s="1"/>
  <c r="J31" i="223"/>
  <c r="J33" i="220" s="1"/>
  <c r="J33" i="230"/>
  <c r="B33" i="222"/>
  <c r="C31" i="242" l="1"/>
  <c r="C33" i="243"/>
  <c r="I31" i="242"/>
  <c r="I33" i="243" s="1"/>
  <c r="G31" i="242"/>
  <c r="G33" i="243" s="1"/>
  <c r="F33" i="243"/>
  <c r="B34" i="196"/>
  <c r="L32" i="42"/>
  <c r="B31" i="242" l="1"/>
  <c r="L34" i="196"/>
  <c r="D31" i="242" l="1"/>
  <c r="D33" i="243" s="1"/>
  <c r="H31" i="242"/>
  <c r="B33" i="243"/>
  <c r="H33" i="243" l="1"/>
  <c r="J31" i="242"/>
  <c r="J33" i="243" s="1"/>
  <c r="B36" i="217"/>
  <c r="B40" i="217" s="1"/>
  <c r="H78" i="143" l="1"/>
  <c r="R78" i="143" s="1"/>
  <c r="J35" i="242"/>
  <c r="J37" i="243" s="1"/>
  <c r="R98" i="143" s="1"/>
  <c r="C55" i="120" l="1"/>
  <c r="U78" i="143"/>
  <c r="D55" i="120" l="1"/>
  <c r="H47" i="244" l="1"/>
  <c r="F36" i="244" l="1"/>
  <c r="D29" i="244"/>
  <c r="Z7" i="245" s="1"/>
  <c r="Z10" i="245" s="1"/>
  <c r="Z13" i="245" s="1"/>
  <c r="Z17" i="245" s="1"/>
  <c r="Z20" i="245" s="1"/>
  <c r="E22" i="244"/>
  <c r="V7" i="245" s="1"/>
  <c r="V10" i="245" s="1"/>
  <c r="V13" i="245" s="1"/>
  <c r="V17" i="245" s="1"/>
  <c r="V20" i="245" s="1"/>
  <c r="B22" i="244"/>
  <c r="S7" i="245" s="1"/>
  <c r="D36" i="244"/>
  <c r="AD7" i="245" s="1"/>
  <c r="G15" i="244"/>
  <c r="C22" i="244"/>
  <c r="T7" i="245" s="1"/>
  <c r="T10" i="245" s="1"/>
  <c r="T13" i="245" s="1"/>
  <c r="T17" i="245" s="1"/>
  <c r="T20" i="245" s="1"/>
  <c r="L8" i="244"/>
  <c r="B8" i="244"/>
  <c r="B7" i="245" s="1"/>
  <c r="E15" i="244"/>
  <c r="P7" i="245" s="1"/>
  <c r="P10" i="245" s="1"/>
  <c r="P13" i="245" s="1"/>
  <c r="P17" i="245" s="1"/>
  <c r="P20" i="245" s="1"/>
  <c r="F22" i="244"/>
  <c r="W7" i="245" s="1"/>
  <c r="W10" i="245" s="1"/>
  <c r="W13" i="245" s="1"/>
  <c r="W17" i="245" s="1"/>
  <c r="W20" i="245" s="1"/>
  <c r="B29" i="244"/>
  <c r="X7" i="245" s="1"/>
  <c r="X10" i="245" s="1"/>
  <c r="X13" i="245" s="1"/>
  <c r="X17" i="245" s="1"/>
  <c r="X20" i="245" s="1"/>
  <c r="E29" i="244"/>
  <c r="B15" i="244"/>
  <c r="M7" i="245" s="1"/>
  <c r="E29" i="193" l="1"/>
  <c r="C29" i="193"/>
  <c r="H36" i="244"/>
  <c r="S10" i="245"/>
  <c r="S13" i="245" s="1"/>
  <c r="S17" i="245" s="1"/>
  <c r="S20" i="245" s="1"/>
  <c r="AA7" i="245"/>
  <c r="AA10" i="245" s="1"/>
  <c r="AA13" i="245" s="1"/>
  <c r="AA17" i="245" s="1"/>
  <c r="AA20" i="245" s="1"/>
  <c r="W23" i="245"/>
  <c r="G29" i="187"/>
  <c r="F29" i="187"/>
  <c r="I29" i="187"/>
  <c r="F29" i="191"/>
  <c r="T23" i="245"/>
  <c r="G29" i="191"/>
  <c r="I29" i="191"/>
  <c r="V23" i="245"/>
  <c r="W24" i="245" s="1"/>
  <c r="E29" i="187"/>
  <c r="C29" i="187"/>
  <c r="B29" i="187"/>
  <c r="M10" i="245"/>
  <c r="M13" i="245" s="1"/>
  <c r="M17" i="245" s="1"/>
  <c r="M20" i="245" s="1"/>
  <c r="R7" i="245"/>
  <c r="R10" i="245" s="1"/>
  <c r="R13" i="245" s="1"/>
  <c r="R17" i="245" s="1"/>
  <c r="R20" i="245" s="1"/>
  <c r="F31" i="175"/>
  <c r="D31" i="175"/>
  <c r="E29" i="190"/>
  <c r="B29" i="190"/>
  <c r="L7" i="245"/>
  <c r="B10" i="245"/>
  <c r="B13" i="245" s="1"/>
  <c r="B17" i="245" s="1"/>
  <c r="B20" i="245" s="1"/>
  <c r="B30" i="42" s="1"/>
  <c r="AF7" i="245"/>
  <c r="AF10" i="245" s="1"/>
  <c r="AF13" i="245" s="1"/>
  <c r="AF17" i="245" s="1"/>
  <c r="AF20" i="245" s="1"/>
  <c r="AD10" i="245"/>
  <c r="AD13" i="245" s="1"/>
  <c r="AD17" i="245" s="1"/>
  <c r="AD20" i="245" s="1"/>
  <c r="E29" i="189" l="1"/>
  <c r="E31" i="189" s="1"/>
  <c r="E35" i="189" s="1"/>
  <c r="E33" i="190"/>
  <c r="F31" i="233"/>
  <c r="C31" i="233"/>
  <c r="B31" i="233"/>
  <c r="E31" i="233"/>
  <c r="D31" i="233"/>
  <c r="K29" i="187"/>
  <c r="M29" i="187"/>
  <c r="J29" i="187"/>
  <c r="F33" i="191"/>
  <c r="F29" i="221"/>
  <c r="F29" i="192"/>
  <c r="F31" i="192" s="1"/>
  <c r="F35" i="192" s="1"/>
  <c r="H39" i="143" s="1"/>
  <c r="S23" i="245"/>
  <c r="U24" i="245" s="1"/>
  <c r="C29" i="191"/>
  <c r="C29" i="221" s="1"/>
  <c r="B29" i="191"/>
  <c r="B29" i="221" s="1"/>
  <c r="E29" i="191"/>
  <c r="B34" i="42"/>
  <c r="B30" i="196"/>
  <c r="B32" i="196" s="1"/>
  <c r="B36" i="196" s="1"/>
  <c r="H3" i="143" s="1"/>
  <c r="R3" i="143" s="1"/>
  <c r="C9" i="120" s="1"/>
  <c r="D9" i="120" s="1"/>
  <c r="N31" i="175"/>
  <c r="D31" i="199"/>
  <c r="D33" i="199" s="1"/>
  <c r="D37" i="199" s="1"/>
  <c r="J12" i="143" s="1"/>
  <c r="D35" i="175"/>
  <c r="B33" i="187"/>
  <c r="B29" i="194"/>
  <c r="B31" i="194" s="1"/>
  <c r="B35" i="194" s="1"/>
  <c r="I34" i="143" s="1"/>
  <c r="I29" i="192"/>
  <c r="I31" i="192" s="1"/>
  <c r="I35" i="192" s="1"/>
  <c r="H42" i="143" s="1"/>
  <c r="I29" i="221"/>
  <c r="I33" i="191"/>
  <c r="I33" i="187"/>
  <c r="I29" i="194"/>
  <c r="I31" i="194" s="1"/>
  <c r="I35" i="194" s="1"/>
  <c r="I42" i="143" s="1"/>
  <c r="H48" i="244"/>
  <c r="L10" i="245"/>
  <c r="AH7" i="245"/>
  <c r="AH10" i="245" s="1"/>
  <c r="F35" i="175"/>
  <c r="F31" i="199"/>
  <c r="F33" i="199" s="1"/>
  <c r="F37" i="199" s="1"/>
  <c r="J14" i="143" s="1"/>
  <c r="P31" i="175"/>
  <c r="C33" i="187"/>
  <c r="C29" i="194"/>
  <c r="C31" i="194" s="1"/>
  <c r="C35" i="194" s="1"/>
  <c r="I35" i="143" s="1"/>
  <c r="G29" i="221"/>
  <c r="G33" i="191"/>
  <c r="G29" i="192"/>
  <c r="G31" i="192" s="1"/>
  <c r="G35" i="192" s="1"/>
  <c r="H40" i="143" s="1"/>
  <c r="F29" i="194"/>
  <c r="F31" i="194" s="1"/>
  <c r="F35" i="194" s="1"/>
  <c r="I39" i="143" s="1"/>
  <c r="F33" i="187"/>
  <c r="K29" i="193"/>
  <c r="C29" i="184"/>
  <c r="C31" i="184" s="1"/>
  <c r="C35" i="184" s="1"/>
  <c r="J40" i="143" s="1"/>
  <c r="C33" i="193"/>
  <c r="D29" i="229"/>
  <c r="B29" i="229"/>
  <c r="C29" i="229"/>
  <c r="B29" i="189"/>
  <c r="B31" i="189" s="1"/>
  <c r="B35" i="189" s="1"/>
  <c r="B33" i="190"/>
  <c r="E33" i="187"/>
  <c r="E29" i="194"/>
  <c r="E31" i="194" s="1"/>
  <c r="E35" i="194" s="1"/>
  <c r="I37" i="143" s="1"/>
  <c r="G33" i="187"/>
  <c r="G29" i="194"/>
  <c r="G31" i="194" s="1"/>
  <c r="G35" i="194" s="1"/>
  <c r="I40" i="143" s="1"/>
  <c r="M29" i="193"/>
  <c r="E33" i="193"/>
  <c r="E29" i="184"/>
  <c r="E31" i="184" s="1"/>
  <c r="E35" i="184" s="1"/>
  <c r="J42" i="143" s="1"/>
  <c r="I29" i="229" l="1"/>
  <c r="C33" i="229"/>
  <c r="C29" i="223"/>
  <c r="C29" i="230"/>
  <c r="C31" i="230" s="1"/>
  <c r="C35" i="230" s="1"/>
  <c r="I62" i="143" s="1"/>
  <c r="R62" i="143" s="1"/>
  <c r="C47" i="120" s="1"/>
  <c r="D47" i="120" s="1"/>
  <c r="R40" i="143"/>
  <c r="R42" i="143"/>
  <c r="E33" i="191"/>
  <c r="E29" i="192"/>
  <c r="E31" i="192" s="1"/>
  <c r="E35" i="192" s="1"/>
  <c r="H37" i="143" s="1"/>
  <c r="R39" i="143"/>
  <c r="C33" i="120" s="1"/>
  <c r="D33" i="120" s="1"/>
  <c r="M29" i="194"/>
  <c r="M31" i="194" s="1"/>
  <c r="M35" i="194" s="1"/>
  <c r="I54" i="143" s="1"/>
  <c r="M33" i="187"/>
  <c r="B30" i="224"/>
  <c r="B31" i="234"/>
  <c r="B33" i="234" s="1"/>
  <c r="B37" i="234" s="1"/>
  <c r="H10" i="143" s="1"/>
  <c r="R10" i="143" s="1"/>
  <c r="C13" i="120" s="1"/>
  <c r="D13" i="120" s="1"/>
  <c r="L31" i="233"/>
  <c r="B35" i="233"/>
  <c r="E29" i="221"/>
  <c r="B33" i="221"/>
  <c r="B29" i="222"/>
  <c r="B31" i="222" s="1"/>
  <c r="B35" i="222" s="1"/>
  <c r="C29" i="242"/>
  <c r="B33" i="229"/>
  <c r="B29" i="230"/>
  <c r="B31" i="230" s="1"/>
  <c r="B35" i="230" s="1"/>
  <c r="I61" i="143" s="1"/>
  <c r="R61" i="143" s="1"/>
  <c r="C46" i="120" s="1"/>
  <c r="D46" i="120" s="1"/>
  <c r="H29" i="229"/>
  <c r="B29" i="223"/>
  <c r="K33" i="193"/>
  <c r="K29" i="184"/>
  <c r="K31" i="184" s="1"/>
  <c r="K35" i="184" s="1"/>
  <c r="J52" i="143" s="1"/>
  <c r="P35" i="175"/>
  <c r="P31" i="199"/>
  <c r="P33" i="199" s="1"/>
  <c r="P37" i="199" s="1"/>
  <c r="J27" i="143" s="1"/>
  <c r="L13" i="245"/>
  <c r="AH13" i="245" s="1"/>
  <c r="AH17" i="245" s="1"/>
  <c r="N35" i="175"/>
  <c r="N31" i="199"/>
  <c r="N33" i="199" s="1"/>
  <c r="N37" i="199" s="1"/>
  <c r="J25" i="143" s="1"/>
  <c r="B33" i="191"/>
  <c r="B29" i="192"/>
  <c r="B31" i="192" s="1"/>
  <c r="B35" i="192" s="1"/>
  <c r="H34" i="143" s="1"/>
  <c r="F33" i="221"/>
  <c r="F29" i="222"/>
  <c r="F31" i="222" s="1"/>
  <c r="F35" i="222" s="1"/>
  <c r="K29" i="194"/>
  <c r="K31" i="194" s="1"/>
  <c r="K35" i="194" s="1"/>
  <c r="I52" i="143" s="1"/>
  <c r="K33" i="187"/>
  <c r="C31" i="234"/>
  <c r="C33" i="234" s="1"/>
  <c r="C37" i="234" s="1"/>
  <c r="H11" i="143" s="1"/>
  <c r="R11" i="143" s="1"/>
  <c r="C14" i="120" s="1"/>
  <c r="D14" i="120" s="1"/>
  <c r="C30" i="224"/>
  <c r="C35" i="233"/>
  <c r="M31" i="233"/>
  <c r="C33" i="221"/>
  <c r="C29" i="222"/>
  <c r="C31" i="222" s="1"/>
  <c r="C35" i="222" s="1"/>
  <c r="J29" i="229"/>
  <c r="D29" i="230"/>
  <c r="D31" i="230" s="1"/>
  <c r="D35" i="230" s="1"/>
  <c r="I63" i="143" s="1"/>
  <c r="R63" i="143" s="1"/>
  <c r="C48" i="120" s="1"/>
  <c r="D48" i="120" s="1"/>
  <c r="D29" i="223"/>
  <c r="D33" i="229"/>
  <c r="G33" i="221"/>
  <c r="G29" i="222"/>
  <c r="G31" i="222" s="1"/>
  <c r="G35" i="222" s="1"/>
  <c r="C33" i="191"/>
  <c r="C29" i="192"/>
  <c r="C31" i="192" s="1"/>
  <c r="C35" i="192" s="1"/>
  <c r="H35" i="143" s="1"/>
  <c r="R35" i="143" s="1"/>
  <c r="C29" i="120" s="1"/>
  <c r="D29" i="120" s="1"/>
  <c r="D30" i="224"/>
  <c r="D31" i="234"/>
  <c r="D33" i="234" s="1"/>
  <c r="D37" i="234" s="1"/>
  <c r="H12" i="143" s="1"/>
  <c r="R12" i="143" s="1"/>
  <c r="C15" i="120" s="1"/>
  <c r="N31" i="233"/>
  <c r="D35" i="233"/>
  <c r="F31" i="234"/>
  <c r="F33" i="234" s="1"/>
  <c r="F37" i="234" s="1"/>
  <c r="H14" i="143" s="1"/>
  <c r="R14" i="143" s="1"/>
  <c r="C17" i="120" s="1"/>
  <c r="D17" i="120" s="1"/>
  <c r="P31" i="233"/>
  <c r="F35" i="233"/>
  <c r="F30" i="224"/>
  <c r="M29" i="184"/>
  <c r="M31" i="184" s="1"/>
  <c r="M35" i="184" s="1"/>
  <c r="J54" i="143" s="1"/>
  <c r="M33" i="193"/>
  <c r="K34" i="143"/>
  <c r="K51" i="143"/>
  <c r="I29" i="222"/>
  <c r="I31" i="222" s="1"/>
  <c r="I35" i="222" s="1"/>
  <c r="I33" i="221"/>
  <c r="F29" i="242"/>
  <c r="N29" i="191"/>
  <c r="O29" i="191"/>
  <c r="Q29" i="191"/>
  <c r="J33" i="187"/>
  <c r="J29" i="194"/>
  <c r="J31" i="194" s="1"/>
  <c r="J35" i="194" s="1"/>
  <c r="I51" i="143" s="1"/>
  <c r="E31" i="234"/>
  <c r="E33" i="234" s="1"/>
  <c r="E37" i="234" s="1"/>
  <c r="H13" i="143" s="1"/>
  <c r="R13" i="143" s="1"/>
  <c r="C16" i="120" s="1"/>
  <c r="D16" i="120" s="1"/>
  <c r="E35" i="233"/>
  <c r="E30" i="224"/>
  <c r="O31" i="233"/>
  <c r="K54" i="143"/>
  <c r="K37" i="143"/>
  <c r="L17" i="245" l="1"/>
  <c r="L20" i="245" s="1"/>
  <c r="L30" i="42" s="1"/>
  <c r="L30" i="196" s="1"/>
  <c r="L32" i="196" s="1"/>
  <c r="L36" i="196" s="1"/>
  <c r="U3" i="143" s="1"/>
  <c r="U39" i="143"/>
  <c r="Q33" i="191"/>
  <c r="Q29" i="192"/>
  <c r="Q31" i="192" s="1"/>
  <c r="Q35" i="192" s="1"/>
  <c r="H54" i="143" s="1"/>
  <c r="R54" i="143" s="1"/>
  <c r="C42" i="120" s="1"/>
  <c r="D42" i="120" s="1"/>
  <c r="Q29" i="221"/>
  <c r="F30" i="225"/>
  <c r="F32" i="225" s="1"/>
  <c r="F36" i="225" s="1"/>
  <c r="U14" i="143" s="1"/>
  <c r="F34" i="224"/>
  <c r="E29" i="222"/>
  <c r="E31" i="222" s="1"/>
  <c r="E35" i="222" s="1"/>
  <c r="E33" i="221"/>
  <c r="B34" i="224"/>
  <c r="B30" i="225"/>
  <c r="B32" i="225" s="1"/>
  <c r="B36" i="225" s="1"/>
  <c r="U10" i="143" s="1"/>
  <c r="R37" i="143"/>
  <c r="O33" i="191"/>
  <c r="O29" i="221"/>
  <c r="O29" i="192"/>
  <c r="O31" i="192" s="1"/>
  <c r="O35" i="192" s="1"/>
  <c r="H52" i="143" s="1"/>
  <c r="R52" i="143" s="1"/>
  <c r="N30" i="224"/>
  <c r="N31" i="234"/>
  <c r="N33" i="234" s="1"/>
  <c r="N37" i="234" s="1"/>
  <c r="H25" i="143" s="1"/>
  <c r="R25" i="143" s="1"/>
  <c r="N35" i="233"/>
  <c r="D33" i="223"/>
  <c r="D29" i="220"/>
  <c r="D31" i="220" s="1"/>
  <c r="D35" i="220" s="1"/>
  <c r="U63" i="143" s="1"/>
  <c r="U35" i="143"/>
  <c r="C30" i="225"/>
  <c r="C32" i="225" s="1"/>
  <c r="C36" i="225" s="1"/>
  <c r="U11" i="143" s="1"/>
  <c r="C34" i="224"/>
  <c r="B33" i="223"/>
  <c r="B29" i="220"/>
  <c r="B31" i="220" s="1"/>
  <c r="B35" i="220" s="1"/>
  <c r="U61" i="143" s="1"/>
  <c r="C29" i="243"/>
  <c r="C31" i="243" s="1"/>
  <c r="C35" i="243" s="1"/>
  <c r="R85" i="143" s="1"/>
  <c r="C60" i="120" s="1"/>
  <c r="C33" i="242"/>
  <c r="I29" i="242"/>
  <c r="C29" i="220"/>
  <c r="C31" i="220" s="1"/>
  <c r="C35" i="220" s="1"/>
  <c r="U62" i="143" s="1"/>
  <c r="C33" i="223"/>
  <c r="O30" i="224"/>
  <c r="O31" i="234"/>
  <c r="O33" i="234" s="1"/>
  <c r="O37" i="234" s="1"/>
  <c r="H26" i="143" s="1"/>
  <c r="R26" i="143" s="1"/>
  <c r="O35" i="233"/>
  <c r="N29" i="192"/>
  <c r="N31" i="192" s="1"/>
  <c r="N35" i="192" s="1"/>
  <c r="H51" i="143" s="1"/>
  <c r="R51" i="143" s="1"/>
  <c r="N33" i="191"/>
  <c r="N29" i="221"/>
  <c r="P35" i="233"/>
  <c r="P31" i="234"/>
  <c r="P33" i="234" s="1"/>
  <c r="P37" i="234" s="1"/>
  <c r="H27" i="143" s="1"/>
  <c r="R27" i="143" s="1"/>
  <c r="C24" i="120" s="1"/>
  <c r="D24" i="120" s="1"/>
  <c r="P30" i="224"/>
  <c r="D15" i="120"/>
  <c r="E23" i="143"/>
  <c r="E27" i="143" s="1"/>
  <c r="H33" i="229"/>
  <c r="H29" i="223"/>
  <c r="H29" i="230"/>
  <c r="H31" i="230" s="1"/>
  <c r="H35" i="230" s="1"/>
  <c r="I70" i="143" s="1"/>
  <c r="R70" i="143" s="1"/>
  <c r="L35" i="233"/>
  <c r="L30" i="224"/>
  <c r="L31" i="234"/>
  <c r="L33" i="234" s="1"/>
  <c r="L37" i="234" s="1"/>
  <c r="H23" i="143" s="1"/>
  <c r="R23" i="143" s="1"/>
  <c r="U42" i="143"/>
  <c r="C36" i="120"/>
  <c r="D36" i="120" s="1"/>
  <c r="E34" i="224"/>
  <c r="E30" i="225"/>
  <c r="E32" i="225" s="1"/>
  <c r="E36" i="225" s="1"/>
  <c r="U13" i="143" s="1"/>
  <c r="G29" i="242"/>
  <c r="F33" i="242"/>
  <c r="F29" i="243"/>
  <c r="F31" i="243" s="1"/>
  <c r="F35" i="243" s="1"/>
  <c r="R89" i="143" s="1"/>
  <c r="C64" i="120" s="1"/>
  <c r="D34" i="224"/>
  <c r="D30" i="225"/>
  <c r="D32" i="225" s="1"/>
  <c r="D36" i="225" s="1"/>
  <c r="U12" i="143" s="1"/>
  <c r="J33" i="229"/>
  <c r="J29" i="223"/>
  <c r="J29" i="230"/>
  <c r="J31" i="230" s="1"/>
  <c r="J35" i="230" s="1"/>
  <c r="I72" i="143" s="1"/>
  <c r="R72" i="143" s="1"/>
  <c r="C53" i="120" s="1"/>
  <c r="D53" i="120" s="1"/>
  <c r="M31" i="234"/>
  <c r="M33" i="234" s="1"/>
  <c r="M37" i="234" s="1"/>
  <c r="H24" i="143" s="1"/>
  <c r="R24" i="143" s="1"/>
  <c r="M30" i="224"/>
  <c r="M35" i="233"/>
  <c r="R34" i="143"/>
  <c r="U40" i="143"/>
  <c r="C34" i="120"/>
  <c r="D34" i="120" s="1"/>
  <c r="I33" i="229"/>
  <c r="I29" i="223"/>
  <c r="I29" i="230"/>
  <c r="I31" i="230" s="1"/>
  <c r="I35" i="230" s="1"/>
  <c r="I71" i="143" s="1"/>
  <c r="R71" i="143" s="1"/>
  <c r="B29" i="242" l="1"/>
  <c r="L34" i="42"/>
  <c r="D64" i="120"/>
  <c r="D60" i="120"/>
  <c r="J33" i="223"/>
  <c r="J29" i="220"/>
  <c r="J31" i="220" s="1"/>
  <c r="J35" i="220" s="1"/>
  <c r="U72" i="143" s="1"/>
  <c r="G33" i="242"/>
  <c r="G29" i="243"/>
  <c r="G31" i="243" s="1"/>
  <c r="G35" i="243" s="1"/>
  <c r="R90" i="143" s="1"/>
  <c r="C65" i="120" s="1"/>
  <c r="D65" i="120" s="1"/>
  <c r="L30" i="225"/>
  <c r="L32" i="225" s="1"/>
  <c r="L36" i="225" s="1"/>
  <c r="U23" i="143" s="1"/>
  <c r="L34" i="224"/>
  <c r="O29" i="222"/>
  <c r="O31" i="222" s="1"/>
  <c r="O35" i="222" s="1"/>
  <c r="U52" i="143" s="1"/>
  <c r="O33" i="221"/>
  <c r="I29" i="220"/>
  <c r="I31" i="220" s="1"/>
  <c r="I35" i="220" s="1"/>
  <c r="U71" i="143" s="1"/>
  <c r="I33" i="223"/>
  <c r="C28" i="120"/>
  <c r="D28" i="120" s="1"/>
  <c r="U34" i="143"/>
  <c r="Q33" i="221"/>
  <c r="Q29" i="222"/>
  <c r="Q31" i="222" s="1"/>
  <c r="Q35" i="222" s="1"/>
  <c r="U54" i="143" s="1"/>
  <c r="N34" i="224"/>
  <c r="N30" i="225"/>
  <c r="N32" i="225" s="1"/>
  <c r="N36" i="225" s="1"/>
  <c r="U25" i="143" s="1"/>
  <c r="C31" i="120"/>
  <c r="D31" i="120" s="1"/>
  <c r="U37" i="143"/>
  <c r="N29" i="222"/>
  <c r="N31" i="222" s="1"/>
  <c r="N35" i="222" s="1"/>
  <c r="U51" i="143" s="1"/>
  <c r="N33" i="221"/>
  <c r="I33" i="242"/>
  <c r="I29" i="243"/>
  <c r="I31" i="243" s="1"/>
  <c r="I35" i="243" s="1"/>
  <c r="R94" i="143" s="1"/>
  <c r="D29" i="242"/>
  <c r="B29" i="243"/>
  <c r="B31" i="243" s="1"/>
  <c r="B35" i="243" s="1"/>
  <c r="R84" i="143" s="1"/>
  <c r="C59" i="120" s="1"/>
  <c r="B33" i="242"/>
  <c r="H29" i="242"/>
  <c r="M30" i="225"/>
  <c r="M32" i="225" s="1"/>
  <c r="M36" i="225" s="1"/>
  <c r="U24" i="143" s="1"/>
  <c r="M34" i="224"/>
  <c r="H29" i="220"/>
  <c r="H31" i="220" s="1"/>
  <c r="H35" i="220" s="1"/>
  <c r="U70" i="143" s="1"/>
  <c r="H33" i="223"/>
  <c r="P30" i="225"/>
  <c r="P32" i="225" s="1"/>
  <c r="P36" i="225" s="1"/>
  <c r="U27" i="143" s="1"/>
  <c r="P34" i="224"/>
  <c r="O30" i="225"/>
  <c r="O32" i="225" s="1"/>
  <c r="O36" i="225" s="1"/>
  <c r="U26" i="143" s="1"/>
  <c r="O34" i="224"/>
  <c r="D59" i="120" l="1"/>
  <c r="D29" i="243"/>
  <c r="D31" i="243" s="1"/>
  <c r="D35" i="243" s="1"/>
  <c r="R86" i="143" s="1"/>
  <c r="C61" i="120" s="1"/>
  <c r="D33" i="242"/>
  <c r="H29" i="243"/>
  <c r="H31" i="243" s="1"/>
  <c r="H35" i="243" s="1"/>
  <c r="R93" i="143" s="1"/>
  <c r="J29" i="242"/>
  <c r="H33" i="242"/>
  <c r="J29" i="243" l="1"/>
  <c r="J31" i="243" s="1"/>
  <c r="J35" i="243" s="1"/>
  <c r="R95" i="143" s="1"/>
  <c r="C66" i="120" s="1"/>
  <c r="D66" i="120" s="1"/>
  <c r="J33" i="242"/>
  <c r="D61" i="120"/>
  <c r="B84" i="143"/>
  <c r="B86" i="143" s="1"/>
</calcChain>
</file>

<file path=xl/sharedStrings.xml><?xml version="1.0" encoding="utf-8"?>
<sst xmlns="http://schemas.openxmlformats.org/spreadsheetml/2006/main" count="3235" uniqueCount="474">
  <si>
    <t>Secondary</t>
  </si>
  <si>
    <t>Primary</t>
  </si>
  <si>
    <t>Total</t>
  </si>
  <si>
    <t xml:space="preserve">     </t>
  </si>
  <si>
    <t>Max Annual Demand (kW)</t>
  </si>
  <si>
    <t>0 - 2</t>
  </si>
  <si>
    <t>3 - 6</t>
  </si>
  <si>
    <t>7 - 12</t>
  </si>
  <si>
    <t>26 - 50</t>
  </si>
  <si>
    <t>51 - 75</t>
  </si>
  <si>
    <t>76 - 100</t>
  </si>
  <si>
    <t>101 - 150</t>
  </si>
  <si>
    <t>251 - 350</t>
  </si>
  <si>
    <t>351 - 450</t>
  </si>
  <si>
    <t>551 - 650</t>
  </si>
  <si>
    <t>651 - 750</t>
  </si>
  <si>
    <t>751 - 850</t>
  </si>
  <si>
    <t>851 - 1,050</t>
  </si>
  <si>
    <t>1,051 - 1,250</t>
  </si>
  <si>
    <t>1,251 - 1,500</t>
  </si>
  <si>
    <t>1,501 - 2,000</t>
  </si>
  <si>
    <t>2,001 - 2,500</t>
  </si>
  <si>
    <t>2,501 - 3,000</t>
  </si>
  <si>
    <t>3,001 - 3,500</t>
  </si>
  <si>
    <t>3,501 - 4,000</t>
  </si>
  <si>
    <t>4,001 - 5,000</t>
  </si>
  <si>
    <t>25,001 - 50,000</t>
  </si>
  <si>
    <t>&gt;50,000</t>
  </si>
  <si>
    <t>DR</t>
  </si>
  <si>
    <t>DM</t>
  </si>
  <si>
    <t>DS</t>
  </si>
  <si>
    <t>DT</t>
  </si>
  <si>
    <t>120/240</t>
  </si>
  <si>
    <t>120/208</t>
  </si>
  <si>
    <t>277/480</t>
  </si>
  <si>
    <t>Subtotal</t>
  </si>
  <si>
    <t>Transformers</t>
  </si>
  <si>
    <t>Services</t>
  </si>
  <si>
    <t>Meters</t>
  </si>
  <si>
    <t>Unit Cost</t>
  </si>
  <si>
    <t>Meter</t>
  </si>
  <si>
    <t>Average</t>
  </si>
  <si>
    <t>($)</t>
  </si>
  <si>
    <t>($/Cust)</t>
  </si>
  <si>
    <t>($/Unit)</t>
  </si>
  <si>
    <t>(Cust)</t>
  </si>
  <si>
    <t>Average Cust Cost</t>
  </si>
  <si>
    <t>Cost Component</t>
  </si>
  <si>
    <t>Class</t>
  </si>
  <si>
    <t>TSM Components</t>
  </si>
  <si>
    <t>O&amp;M Expenses</t>
  </si>
  <si>
    <t xml:space="preserve">    Services</t>
  </si>
  <si>
    <t xml:space="preserve">    Meters</t>
  </si>
  <si>
    <t xml:space="preserve">    Transformers </t>
  </si>
  <si>
    <t>RESIDENTIAL CLASS TSM COSTS</t>
  </si>
  <si>
    <t>A6-TOU</t>
  </si>
  <si>
    <t>PA</t>
  </si>
  <si>
    <t>Customer Accounts/Services</t>
  </si>
  <si>
    <t>Lighting</t>
  </si>
  <si>
    <t>Number of Customers</t>
  </si>
  <si>
    <t>Working Capital at</t>
  </si>
  <si>
    <t>General Plant Loading at</t>
  </si>
  <si>
    <t>Residential</t>
  </si>
  <si>
    <t>Agriculture</t>
  </si>
  <si>
    <t>A</t>
  </si>
  <si>
    <t>GRC Escalators</t>
  </si>
  <si>
    <t>Marginal Customer Cost Development Loading Factors</t>
  </si>
  <si>
    <t>DR-TOU</t>
  </si>
  <si>
    <t>DR-SES</t>
  </si>
  <si>
    <t>DT-RV</t>
  </si>
  <si>
    <t>A-TC</t>
  </si>
  <si>
    <t>A-TOU</t>
  </si>
  <si>
    <t>Schedule A-TC</t>
  </si>
  <si>
    <t>Schedule A-TOU</t>
  </si>
  <si>
    <t>UM</t>
  </si>
  <si>
    <t>AL-TOU</t>
  </si>
  <si>
    <t>PA-T-1</t>
  </si>
  <si>
    <t>Small Commercial Class</t>
  </si>
  <si>
    <t xml:space="preserve">      Secondary Voltage Service</t>
  </si>
  <si>
    <t xml:space="preserve">      Primary Voltage Service</t>
  </si>
  <si>
    <t>Agricultural Class</t>
  </si>
  <si>
    <t>Rental (RECC)</t>
  </si>
  <si>
    <t>Small Commercial Class Average</t>
  </si>
  <si>
    <t>Line</t>
  </si>
  <si>
    <t>SCH DR TSM COSTS</t>
  </si>
  <si>
    <t>Total ($/Customer/Year)</t>
  </si>
  <si>
    <t>Total  ($/Customer/Year)</t>
  </si>
  <si>
    <t>Transmission</t>
  </si>
  <si>
    <t>&gt; 12 MW</t>
  </si>
  <si>
    <t>RES</t>
  </si>
  <si>
    <t>Small C&amp;I</t>
  </si>
  <si>
    <t>Check</t>
  </si>
  <si>
    <t>0-5 kW</t>
  </si>
  <si>
    <t>EV-TOU-2</t>
  </si>
  <si>
    <t>EV-TOU</t>
  </si>
  <si>
    <t>DG-R</t>
  </si>
  <si>
    <t>RESIDENTIAL CLASS TSM SUMMARY</t>
  </si>
  <si>
    <t xml:space="preserve">    Transformers</t>
  </si>
  <si>
    <t>3-Phase</t>
  </si>
  <si>
    <t>277/480 3-Phase</t>
  </si>
  <si>
    <t>120/240 3-Phase</t>
  </si>
  <si>
    <t>120/208 3-Phase</t>
  </si>
  <si>
    <t>21 - 25</t>
  </si>
  <si>
    <t>Total - Residential Class</t>
  </si>
  <si>
    <t>1-Phase</t>
  </si>
  <si>
    <t>Total - Small Commercial Class</t>
  </si>
  <si>
    <t>151 - 200</t>
  </si>
  <si>
    <t>201 - 250</t>
  </si>
  <si>
    <t>451 - 500</t>
  </si>
  <si>
    <t>501 - 550</t>
  </si>
  <si>
    <t>13 - 20</t>
  </si>
  <si>
    <t>5,001 - 12,000</t>
  </si>
  <si>
    <t>12,001 - 25,000</t>
  </si>
  <si>
    <t>120/240 1-Phase</t>
  </si>
  <si>
    <t>&gt;5 - 20 kW</t>
  </si>
  <si>
    <t>&gt;20 - 50 kW</t>
  </si>
  <si>
    <t>&gt;50 kW</t>
  </si>
  <si>
    <t>SECONDARY</t>
  </si>
  <si>
    <t>PRIMARY</t>
  </si>
  <si>
    <t>&lt; 20 kW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</si>
  <si>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</si>
  <si>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>120/ 240 1-Phase</t>
  </si>
  <si>
    <t>277/240</t>
  </si>
  <si>
    <t>Secondary Total</t>
  </si>
  <si>
    <t>&gt; 500 kW - 12 MW</t>
  </si>
  <si>
    <t>SCHEDULE AL-TOU - CUSTOMERS</t>
  </si>
  <si>
    <t>A6-TOU Total</t>
  </si>
  <si>
    <t>SCHEDULE A-TOU TSM COSTS</t>
  </si>
  <si>
    <t>Secondary A-TOU Total</t>
  </si>
  <si>
    <t>RESIDENTIAL TSM UNIT COSTS</t>
  </si>
  <si>
    <t>SCHEDULE DR TOTAL</t>
  </si>
  <si>
    <t>Average Customer Costs</t>
  </si>
  <si>
    <t>OL-TOU</t>
  </si>
  <si>
    <t>Total ($/Customer-Year)</t>
  </si>
  <si>
    <t>&lt; 20 kW ($/Customer-Year)</t>
  </si>
  <si>
    <t>Sec Total</t>
  </si>
  <si>
    <t>Pri Total</t>
  </si>
  <si>
    <t>Schedule A-TOU TSM SUMMARY</t>
  </si>
  <si>
    <t xml:space="preserve">         0-5 kW</t>
  </si>
  <si>
    <t xml:space="preserve">      &gt;5-20 kW</t>
  </si>
  <si>
    <t xml:space="preserve">      &gt;20-50 kW</t>
  </si>
  <si>
    <t>&gt; 20 MW</t>
  </si>
  <si>
    <t xml:space="preserve">      Secondary</t>
  </si>
  <si>
    <t xml:space="preserve">      Primary</t>
  </si>
  <si>
    <r>
      <t xml:space="preserve">      </t>
    </r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</si>
  <si>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 xml:space="preserve">         &lt; 20 kW</t>
  </si>
  <si>
    <t>SCHEDULE A6-TOU TSM SUMMARY</t>
  </si>
  <si>
    <t>&gt; 500 - 12 MW</t>
  </si>
  <si>
    <t>&gt; 12 MW kW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</si>
  <si>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</si>
  <si>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>SCHEDULE A6-TOU TSM COSTS</t>
  </si>
  <si>
    <t>SCHEDULE A6-TOU CUSTOMERS</t>
  </si>
  <si>
    <t>≤ 500 kW</t>
  </si>
  <si>
    <t>DG-R Total</t>
  </si>
  <si>
    <t>SCHEDULE DG-R - CUSTOMERS</t>
  </si>
  <si>
    <t>SCHEDULE DG-R TSM COSTS</t>
  </si>
  <si>
    <t>SCHEDULE DG-R TSM SUMMARY</t>
  </si>
  <si>
    <t>SCHEDULE OL-TOU TSM COSTS</t>
  </si>
  <si>
    <t>SCHEDULE OL-TOU - CUSTOMERS</t>
  </si>
  <si>
    <t>SCHEDULE OL-TOU TSM SUMMARY</t>
  </si>
  <si>
    <t>SCHEDULE AL-TOU TSM COSTS</t>
  </si>
  <si>
    <t>Trans Total</t>
  </si>
  <si>
    <t>SCHEDULE AL-TOU TSM SUMMARY</t>
  </si>
  <si>
    <t xml:space="preserve">    &gt; 500 kW - 12MW</t>
  </si>
  <si>
    <t xml:space="preserve">    &gt; 12 MW</t>
  </si>
  <si>
    <r>
      <rPr>
        <sz val="10"/>
        <rFont val="Calibri"/>
        <family val="2"/>
      </rPr>
      <t xml:space="preserve">     ≤</t>
    </r>
    <r>
      <rPr>
        <sz val="10"/>
        <rFont val="Arial"/>
        <family val="2"/>
      </rPr>
      <t xml:space="preserve"> 500 kW</t>
    </r>
  </si>
  <si>
    <t>DG_R</t>
  </si>
  <si>
    <r>
      <rPr>
        <sz val="10"/>
        <rFont val="Calibri"/>
        <family val="2"/>
      </rPr>
      <t xml:space="preserve">     ≤</t>
    </r>
    <r>
      <rPr>
        <sz val="10"/>
        <rFont val="Arial"/>
        <family val="2"/>
      </rPr>
      <t xml:space="preserve"> 20 kW</t>
    </r>
  </si>
  <si>
    <t xml:space="preserve">    &gt; 20 kW</t>
  </si>
  <si>
    <t>Customers:</t>
  </si>
  <si>
    <t xml:space="preserve">    &gt; 5 - 20 kW</t>
  </si>
  <si>
    <r>
      <t xml:space="preserve">    </t>
    </r>
    <r>
      <rPr>
        <sz val="10"/>
        <rFont val="Calibri"/>
        <family val="2"/>
      </rPr>
      <t xml:space="preserve">≤ </t>
    </r>
    <r>
      <rPr>
        <sz val="10"/>
        <rFont val="Arial"/>
        <family val="2"/>
      </rPr>
      <t>5</t>
    </r>
    <r>
      <rPr>
        <sz val="8.5"/>
        <rFont val="Arial"/>
        <family val="2"/>
      </rPr>
      <t xml:space="preserve"> </t>
    </r>
    <r>
      <rPr>
        <sz val="10"/>
        <rFont val="Arial"/>
        <family val="2"/>
      </rPr>
      <t>kW</t>
    </r>
  </si>
  <si>
    <t xml:space="preserve">    &gt; 20 - 50 kW</t>
  </si>
  <si>
    <t xml:space="preserve">    &gt; 50 kW</t>
  </si>
  <si>
    <t xml:space="preserve">      Transmission Voltage Service</t>
  </si>
  <si>
    <t>Agricultural Class Average</t>
  </si>
  <si>
    <t>Schedule UM</t>
  </si>
  <si>
    <t>Number of Lamps</t>
  </si>
  <si>
    <t>Residential Class</t>
  </si>
  <si>
    <t>Medium/Large Commercial &amp; Industrial Class</t>
  </si>
  <si>
    <t xml:space="preserve">      &gt;50 kW</t>
  </si>
  <si>
    <t>Unmetered Lighting</t>
  </si>
  <si>
    <t>TSM Components per Lamp basis</t>
  </si>
  <si>
    <t>Annualized Cost per Lamp</t>
  </si>
  <si>
    <t>Total ($/Lamp/Year)</t>
  </si>
  <si>
    <t xml:space="preserve">      Secondary Average</t>
  </si>
  <si>
    <t xml:space="preserve">      Primary Average</t>
  </si>
  <si>
    <r>
      <t xml:space="preserve">            </t>
    </r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</si>
  <si>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 xml:space="preserve">            &gt; 500 - 12 MW</t>
  </si>
  <si>
    <t xml:space="preserve">            &gt; 12 MW</t>
  </si>
  <si>
    <t xml:space="preserve">      Transmission Average</t>
  </si>
  <si>
    <t>13 - 19</t>
  </si>
  <si>
    <t>20 - 25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</si>
  <si>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20 MW</t>
    </r>
  </si>
  <si>
    <t>Total-Agricultural Class</t>
  </si>
  <si>
    <t>MEDIUM/LARGE C&amp;I TSM SUMMARY</t>
  </si>
  <si>
    <t>Total - Medium/Large C&amp;I</t>
  </si>
  <si>
    <t>AGRICULTURAL TSM SUMMARY</t>
  </si>
  <si>
    <t>Tran Total</t>
  </si>
  <si>
    <t>SMALL COMMERCIAL TSM SUMMARY</t>
  </si>
  <si>
    <t>Small Commercial Total</t>
  </si>
  <si>
    <t>3 - 4</t>
  </si>
  <si>
    <t>5 - 6</t>
  </si>
  <si>
    <t>NON-RESIDENTIAL TSM COSTS</t>
  </si>
  <si>
    <t>AL-TOU TOTAL</t>
  </si>
  <si>
    <t>Secondary - OL-TOU Total</t>
  </si>
  <si>
    <t>Medium/Large Commercial &amp; Industrial Class Average</t>
  </si>
  <si>
    <t>AL-TOU Total</t>
  </si>
  <si>
    <t>TRANSMISSION</t>
  </si>
  <si>
    <t>DGR TOTAL</t>
  </si>
  <si>
    <t>A6-TOU TOTAL</t>
  </si>
  <si>
    <t>OL-TOU TOTAL</t>
  </si>
  <si>
    <t>Monthly</t>
  </si>
  <si>
    <t>Residential Total</t>
  </si>
  <si>
    <t>Average Annual Cost 
by Class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</si>
  <si>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 ($/Customer-Year)</t>
    </r>
  </si>
  <si>
    <t>Sec-Total</t>
  </si>
  <si>
    <t>SMALL COMMERCIAL CUSTOMERS</t>
  </si>
  <si>
    <t>RESIDENTIAL CUSTOMERS</t>
  </si>
  <si>
    <t>Residential Class Average</t>
  </si>
  <si>
    <t>Tab Descriptions</t>
  </si>
  <si>
    <t>No.</t>
  </si>
  <si>
    <t>Tab Name</t>
  </si>
  <si>
    <t>Tab Description</t>
  </si>
  <si>
    <t>Description of Tabs in Workpaper</t>
  </si>
  <si>
    <t>Marg Cust Cost Summary</t>
  </si>
  <si>
    <t>Summary of Marginal Distribution Customer Costs by Customer Class</t>
  </si>
  <si>
    <t>Marg Cust Cost by Rate Schedule</t>
  </si>
  <si>
    <t>Calculation of Marginal Distribution Customer Costs by Rate Schedule</t>
  </si>
  <si>
    <t>Inputs</t>
  </si>
  <si>
    <t>Loading Factor and Escalation Inputs used in Workpaper</t>
  </si>
  <si>
    <t>Resid Cust Fcst</t>
  </si>
  <si>
    <t>Resid TSM UC</t>
  </si>
  <si>
    <t>Residential Class Transformer, Services, and Meter Unit Costs</t>
  </si>
  <si>
    <t>Resid TSM Summary</t>
  </si>
  <si>
    <t>Residential Class Transformer, Services, and Meter Costs by Rate Schedule</t>
  </si>
  <si>
    <t>Resid Cust Cost Summary</t>
  </si>
  <si>
    <t>Sch DR TSM</t>
  </si>
  <si>
    <t>Schedule DR Transformer, Services, and Meter Summary Costs</t>
  </si>
  <si>
    <t>Sch DM TSM</t>
  </si>
  <si>
    <t>Schedule DM Transformer, Services, and Meter Summary Costs</t>
  </si>
  <si>
    <t>Sch DS TSM</t>
  </si>
  <si>
    <t>Schedule DS Transformer, Services, and Meter Summary Costs</t>
  </si>
  <si>
    <t>Sch DT TSM</t>
  </si>
  <si>
    <t>Schedule DT Transformer, Services, and Meter Summary Costs</t>
  </si>
  <si>
    <t>Sch DT-RV TSM</t>
  </si>
  <si>
    <t>Schedule DT-RV Transformer, Services, and Meter Summary Costs</t>
  </si>
  <si>
    <t>Sch DR-TOU TSM</t>
  </si>
  <si>
    <t>Schedule DR-TOU Transformer, Services, and Meter Summary Costs</t>
  </si>
  <si>
    <t>Sch DRSES TSM</t>
  </si>
  <si>
    <t>Schedule DR-SES Transformer, Services, and Meter Summary Costs</t>
  </si>
  <si>
    <t>Sch EV-TOU TSM</t>
  </si>
  <si>
    <t>Schedule EV-TOU Transformer, Services, and Meter Summary Costs</t>
  </si>
  <si>
    <t>Sch EV-TOU-2 TSM</t>
  </si>
  <si>
    <t>Schedule EV-TOU-2 Transformer, Services, and Meter Summary Costs</t>
  </si>
  <si>
    <t>Small Comm Cust Fcst</t>
  </si>
  <si>
    <t>Small Comm TSM Summary</t>
  </si>
  <si>
    <t>Small Commercial Class Transformer, Services, and Meter Summary Costs by Service Voltage Level and kW Size</t>
  </si>
  <si>
    <t>Small Comm Cust Cost Summary</t>
  </si>
  <si>
    <t>Sch A-TOU TSM</t>
  </si>
  <si>
    <t>Schedule A-TOU Transformer, Services, and Meter Costs</t>
  </si>
  <si>
    <t>Sch A-TOU TSM Summary</t>
  </si>
  <si>
    <t>Schedule A-TOU Transformer, Services, and Meter Summary Costs by Service Voltage Level and kW Size</t>
  </si>
  <si>
    <t>Sch A-TOU Cust Cost Summary</t>
  </si>
  <si>
    <t>M-L C&amp;I TSM Summary</t>
  </si>
  <si>
    <t>Medium/Large Commercial and Industrial Class Transformer, Services, and Meter Summary Costs by Service Voltage Level and kW Size</t>
  </si>
  <si>
    <t>Sch OL-TOU Cust Fcst</t>
  </si>
  <si>
    <t>Sch OL-TOU TSM</t>
  </si>
  <si>
    <t>Schedule OL-TOU Transformer, Services, and Meter Costs</t>
  </si>
  <si>
    <t>Sch OL-TOU TSM Summary</t>
  </si>
  <si>
    <t>Schedule OL-TOU Transformer, Services, and Meter Summary Costs by Service Voltage Level and kW Size</t>
  </si>
  <si>
    <t>Sch OL-TOU Cust Cost Summary</t>
  </si>
  <si>
    <t>Sch AL-TOU Cust Fcst</t>
  </si>
  <si>
    <t>Sch AL-TOU TSM</t>
  </si>
  <si>
    <t>Schedule AL-TOU Transformer, Services, and Meter Costs</t>
  </si>
  <si>
    <t>Sch AL-TOU TSM Summary</t>
  </si>
  <si>
    <t>Schedule AL-TOU Transformer, Services, and Meter Summary Costs by Service Voltage Level and kW Size</t>
  </si>
  <si>
    <t>Sch AL-TOU Cust Cost Summary</t>
  </si>
  <si>
    <t>Sch DG-R Cust Fcst</t>
  </si>
  <si>
    <t>Sch DG-R TSM</t>
  </si>
  <si>
    <t>Schedule DG-R Transformer, Services, and Meter Costs</t>
  </si>
  <si>
    <t>Sch DG-R TSM Summary</t>
  </si>
  <si>
    <t>Schedule DG-R Transformer, Services, and Meter Summary Costs by Service Voltage Level and kW Size</t>
  </si>
  <si>
    <t>Sch DG-R Cust Cost Summary</t>
  </si>
  <si>
    <t>Sch A6-TOU Cust Fcst</t>
  </si>
  <si>
    <t>Sch A6-TOU TSM</t>
  </si>
  <si>
    <t>Schedule A6-TOU Transformer, Services, and Meter Costs</t>
  </si>
  <si>
    <t>Sch A6-TOU TSM Summary</t>
  </si>
  <si>
    <t>Schedule A6-TOU Transformer, Services, and Meter Summary Costs by Service Voltage Level and kW Size</t>
  </si>
  <si>
    <t>Sch A6-TOU Cust Cost Summary</t>
  </si>
  <si>
    <t>Agri TSM Summary</t>
  </si>
  <si>
    <t>Agricultural Class Transformer, Services, and Meter Summary Costs by Service Voltage Level and kW Size</t>
  </si>
  <si>
    <t>Agri Cust Cost Summary</t>
  </si>
  <si>
    <t>Non-Residential TSM UC</t>
  </si>
  <si>
    <t>Non-Residential Class Transformer, Services, and Meter Unit Costs</t>
  </si>
  <si>
    <t>Cust Service Cost Allocations</t>
  </si>
  <si>
    <t>Electric Distribution Customer Cost Allocations by Rate Schedules</t>
  </si>
  <si>
    <t>TSM Cap Cost Allocations</t>
  </si>
  <si>
    <t>Transformer, Services, and Meter Cost Allocations by Rate Schedules</t>
  </si>
  <si>
    <t>Distribution O&amp;M Allocations</t>
  </si>
  <si>
    <t>Electric Distribution O&amp;M Allocations by Rate Schedules</t>
  </si>
  <si>
    <t>Residential Class Transformer, Services, and Meter Costs</t>
  </si>
  <si>
    <t>Resid TSM Sum by Rate Schedule</t>
  </si>
  <si>
    <t>M-L C&amp;I Cust Cost Summary</t>
  </si>
  <si>
    <t>General Plant Loading Factor =</t>
  </si>
  <si>
    <t>(4) Input data in blue font comes from a separate source file.</t>
  </si>
  <si>
    <t>(2) Input data in blue font comes from a separate source file.</t>
  </si>
  <si>
    <t>Note:</t>
  </si>
  <si>
    <t>A&amp;G O&amp;M Non-Plant Loading Factor =</t>
  </si>
  <si>
    <t>Transformer RECC =</t>
  </si>
  <si>
    <t>Service RECC =</t>
  </si>
  <si>
    <t>Meter RECC  =</t>
  </si>
  <si>
    <t>Annualized TSM Cost</t>
  </si>
  <si>
    <r>
      <t>Annual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</t>
    </r>
  </si>
  <si>
    <t>Marginal Customer Cost Summary by Rate Schedules ($/Customer-Year)</t>
  </si>
  <si>
    <t xml:space="preserve">     associated with distribution plant excluding wild fire claims costs, as proposed by ORA and UCAN.</t>
  </si>
  <si>
    <t xml:space="preserve">    Annualized Transformers Cost at 8.95%</t>
  </si>
  <si>
    <t xml:space="preserve">    Annualized Services Cost at 8.00%</t>
  </si>
  <si>
    <t xml:space="preserve">    Annualized Meter Cost at 11.52%</t>
  </si>
  <si>
    <t xml:space="preserve">     Exhibit SDG&amp;E-39, in SDG&amp;E's TY 2019 GRC Phase 1 (A.17-10-007).</t>
  </si>
  <si>
    <t xml:space="preserve">     in SDG&amp;E's TY 2019 GRC Phase 1 (A.17-10-007).</t>
  </si>
  <si>
    <t>2020 TSM Escalator =</t>
  </si>
  <si>
    <t>2020 O&amp;M Escalator =</t>
  </si>
  <si>
    <t>2020 Cust Acct/Services Escalator =</t>
  </si>
  <si>
    <t>2020 Miscellaneous Service Revenues =</t>
  </si>
  <si>
    <t>Total Forecasted 2020 Customers =</t>
  </si>
  <si>
    <t>2020 Miscellaneous Revenue per Customer =</t>
  </si>
  <si>
    <t>TOU-DR</t>
  </si>
  <si>
    <t>SCHEDULE TOU-PA - CUSTOMERS</t>
  </si>
  <si>
    <t>SCHEDULE TOU-PA TSM COSTS</t>
  </si>
  <si>
    <t>TOU-PA TOTAL</t>
  </si>
  <si>
    <t>SCHEDULE TOU-PA TSM SUMMARY</t>
  </si>
  <si>
    <t>TOU-PA Total</t>
  </si>
  <si>
    <t>RENTAL - SCHEDULE TOU-PA - 2020$</t>
  </si>
  <si>
    <t>RENTAL - SCHEDULE A6-TOU - 2020$</t>
  </si>
  <si>
    <t>RENTAL - SCHEDULE DG-R - 2020$</t>
  </si>
  <si>
    <t>RENTAL - SCHEDULE OL-TOU - 2020$</t>
  </si>
  <si>
    <t>RENTAL - RESIDENTIAL CLASS - $2020</t>
  </si>
  <si>
    <t>TOU-PA</t>
  </si>
  <si>
    <t>Schedule TOU-A</t>
  </si>
  <si>
    <t>(1) TSM Components per Lamp based on data from Street Light TSM Costs file.</t>
  </si>
  <si>
    <t>(2) Number of Lamps based on data from Street Light TSM Costs file.</t>
  </si>
  <si>
    <t>Sch TOU-DR TSM</t>
  </si>
  <si>
    <t>Schedule TOU-DR Transformer, Services, and Meter Summary Costs</t>
  </si>
  <si>
    <t>SCH TOU-A TSM COSTS</t>
  </si>
  <si>
    <t>SCHEDULE TOU-A TOTAL</t>
  </si>
  <si>
    <t>Schedule TOU-A TSM SUMMARY</t>
  </si>
  <si>
    <t>Schedule TOU-A Total</t>
  </si>
  <si>
    <t>Sch TOU-A TSM</t>
  </si>
  <si>
    <t>Sch TOU-A TSM Summary</t>
  </si>
  <si>
    <t>Sch TOU-A Cust Cost Summary</t>
  </si>
  <si>
    <t>Schedule TOU-A Transformer, Services, and Meter Costs</t>
  </si>
  <si>
    <t>Schedule TOU-A Transformer, Services, and Meter Summary Costs by Service Voltage Level and kW Size</t>
  </si>
  <si>
    <t>Sch TOU-PA TSM</t>
  </si>
  <si>
    <t>Sch TOU-PA TSM Summary</t>
  </si>
  <si>
    <t>Sch TOU-PA Cust Cost Summary</t>
  </si>
  <si>
    <t>Schedule TOU-PA Transformer, Services, and Meter Costs</t>
  </si>
  <si>
    <t>Schedule TOU-PA Transformer, Services, and Meter Summary Costs by Service Voltage Level and kW Size</t>
  </si>
  <si>
    <t>TOU-A</t>
  </si>
  <si>
    <t>(1) Transformers, Services and Meter ("TSM") costs represent the installed 2017 costs of TSM individual components for non-residential customers.</t>
  </si>
  <si>
    <t>RENTAL - STREETLIGHTING CLASS - 2020$</t>
  </si>
  <si>
    <t>RENTAL - AGRICULTURAL - 2020$</t>
  </si>
  <si>
    <t>RENTAL - SCHEDULE AL-TOU - 2020$</t>
  </si>
  <si>
    <t>RENTAL - MEDIUM/LARGE C&amp;I - 2020$</t>
  </si>
  <si>
    <t>RENTAL - SCHEDULE A-TOU - $2020</t>
  </si>
  <si>
    <t>RENTAL - SCHEDULE TOU-A - $2020</t>
  </si>
  <si>
    <t>RENTAL - SMALL COMMERCIAL - 2020$</t>
  </si>
  <si>
    <r>
      <t xml:space="preserve">(2) </t>
    </r>
    <r>
      <rPr>
        <b/>
        <sz val="10"/>
        <rFont val="Arial"/>
        <family val="2"/>
      </rPr>
      <t>TSM RECC</t>
    </r>
    <r>
      <rPr>
        <sz val="10"/>
        <rFont val="Arial"/>
        <family val="2"/>
      </rPr>
      <t>: represents the calculated annual investment amounts for TSM assets.</t>
    </r>
  </si>
  <si>
    <r>
      <t xml:space="preserve">(4) </t>
    </r>
    <r>
      <rPr>
        <b/>
        <sz val="10"/>
        <rFont val="Arial"/>
        <family val="2"/>
      </rPr>
      <t>2020 TSM Escalator</t>
    </r>
    <r>
      <rPr>
        <sz val="10"/>
        <rFont val="Arial"/>
        <family val="2"/>
      </rPr>
      <t xml:space="preserve">: from the Direct Testimony workpapers of SDG&amp;E witness Scott R. Wilder, Exhibit SDG&amp;E-39, </t>
    </r>
  </si>
  <si>
    <r>
      <t xml:space="preserve">(5) </t>
    </r>
    <r>
      <rPr>
        <b/>
        <sz val="10"/>
        <rFont val="Arial"/>
        <family val="2"/>
      </rPr>
      <t>2020 O&amp;M Escalator</t>
    </r>
    <r>
      <rPr>
        <sz val="10"/>
        <rFont val="Arial"/>
        <family val="2"/>
      </rPr>
      <t xml:space="preserve">: from the Direct Testimony workpapers of SDG&amp;E witness Scott R. Wilder, Exhibit SDG&amp;E-39, </t>
    </r>
  </si>
  <si>
    <r>
      <t xml:space="preserve">(6) </t>
    </r>
    <r>
      <rPr>
        <b/>
        <sz val="10"/>
        <rFont val="Arial"/>
        <family val="2"/>
      </rPr>
      <t>2020 Customer Acct/Services Escalator</t>
    </r>
    <r>
      <rPr>
        <sz val="10"/>
        <rFont val="Arial"/>
        <family val="2"/>
      </rPr>
      <t>: from the Direct Testimony workpapers of SDG&amp;E witness Scott R. Wilder,</t>
    </r>
  </si>
  <si>
    <r>
      <t xml:space="preserve">(7) </t>
    </r>
    <r>
      <rPr>
        <b/>
        <sz val="10"/>
        <rFont val="Arial"/>
        <family val="2"/>
      </rPr>
      <t>2020 Miscellaneous Service Revenues</t>
    </r>
    <r>
      <rPr>
        <sz val="10"/>
        <rFont val="Arial"/>
        <family val="2"/>
      </rPr>
      <t>: TY 2019 forecasted Miscellaneous Service Revenues from the Direct Testimony</t>
    </r>
  </si>
  <si>
    <t xml:space="preserve">     of Eric Dalton, Exhibit SDG&amp;E-40, in SDG&amp;E TY 2019 GRC Phase 1 (A.17-10-007), escalated into 2020 dollars based on</t>
  </si>
  <si>
    <t xml:space="preserve">     SDG&amp;E-39, in SDG&amp;E's TY 2019 GRC Phase 1 (A.17-10-007).</t>
  </si>
  <si>
    <t xml:space="preserve">     the forecasted escalation factors in the Direct Testimony workpapers of SDG&amp;E witness Scott R. Wilder, Exhibit</t>
  </si>
  <si>
    <t>Schedule A-TOU Total</t>
  </si>
  <si>
    <t>Notes:</t>
  </si>
  <si>
    <t>Adjusted O&amp;M Expenses</t>
  </si>
  <si>
    <t>Miscellaneous Service Revenue</t>
  </si>
  <si>
    <t>Miscellaneous Service Revenue Adjustment</t>
  </si>
  <si>
    <t>Working Capital Loading Factor =</t>
  </si>
  <si>
    <r>
      <t xml:space="preserve">(1) </t>
    </r>
    <r>
      <rPr>
        <b/>
        <sz val="10"/>
        <rFont val="Arial"/>
        <family val="2"/>
      </rPr>
      <t>General Plant Loading Factor</t>
    </r>
    <r>
      <rPr>
        <sz val="10"/>
        <rFont val="Arial"/>
        <family val="2"/>
      </rPr>
      <t>: based on a five-year average (2013-2017) of SDG&amp;E plant expenses.</t>
    </r>
  </si>
  <si>
    <r>
      <t xml:space="preserve">(3) </t>
    </r>
    <r>
      <rPr>
        <b/>
        <sz val="10"/>
        <rFont val="Arial"/>
        <family val="2"/>
      </rPr>
      <t>A&amp;G O&amp;M Non-Plant Loading Factor</t>
    </r>
    <r>
      <rPr>
        <sz val="10"/>
        <rFont val="Arial"/>
        <family val="2"/>
      </rPr>
      <t>: based on five-year average (2013-2017) of administrative and general expenses</t>
    </r>
  </si>
  <si>
    <t>Residential Class Customer Forecast by Rate Schedule</t>
  </si>
  <si>
    <t>Small Commercial Class Customer Forecast by Rate Schedule</t>
  </si>
  <si>
    <t>Schedule OL-TOU Customer Forecast</t>
  </si>
  <si>
    <t>Schedule AL-TOU Customer Forecast</t>
  </si>
  <si>
    <t>Schedule DG-R Customer Forecast</t>
  </si>
  <si>
    <t>Schedule A6-TOU Customer Forecast</t>
  </si>
  <si>
    <t>Schedule TOU-PA Customer Forecast</t>
  </si>
  <si>
    <t>Sch TOU-PA Cust Fcst</t>
  </si>
  <si>
    <t>Total 2017 Customers</t>
  </si>
  <si>
    <t xml:space="preserve">Customer Forecast by Customer Class Rate Schedules </t>
  </si>
  <si>
    <t>(1) Transformers, Services and Meter ("TSM") costs represent the installed 2017 costs of TSM individual components for residential customers.</t>
  </si>
  <si>
    <t>(3) Number of customers reflect the average number of Streetlighting customers in 2017.</t>
  </si>
  <si>
    <t>Street Lighting Class Average (Cost Per Lamp)</t>
  </si>
  <si>
    <t>Street Light Cust Cost Summary</t>
  </si>
  <si>
    <t>SAN DIEGO GAS &amp; ELECTRIC COMPANY (SDG&amp;E)</t>
  </si>
  <si>
    <t>(1) Number of customers reflect the average number of residential customers by rate schedule in 2016.</t>
  </si>
  <si>
    <t>(1) Number of customers reflect the average number of small commercial customers by rate schedule in 2016.</t>
  </si>
  <si>
    <t>(1) Number of customers reflect the average number of Schedule OL-TOU customers in 2016.</t>
  </si>
  <si>
    <t>(1) Number of customers reflect the average number of Schedule AL-TOU customers in 2016.</t>
  </si>
  <si>
    <t>(1) Number of customers reflect the average number of Schedule DG-R customers in 2016.</t>
  </si>
  <si>
    <t>(1) Number of customers reflect the average number of Schedule A6-TOU customers in 2016.</t>
  </si>
  <si>
    <t>(1) Number of customers reflect the average number of Schedule PA customers in 2016.</t>
  </si>
  <si>
    <t>TEST YEAR (TY) 2019 GENERAL RATE CASE (GRC) PHASE 2, (A.) APPLICATION 19-03-XXX</t>
  </si>
  <si>
    <t>School Class Total</t>
  </si>
  <si>
    <t>Non-Lighting Total</t>
  </si>
  <si>
    <t>SCHOOL CLASS TSM SUMMARY</t>
  </si>
  <si>
    <t>RENTAL - SCHOOL CLASS - 2020$</t>
  </si>
  <si>
    <t>Total Non-Street Lighting ($/Customer-Year)</t>
  </si>
  <si>
    <t>Total Street Lighting ($/Lamp-Year)</t>
  </si>
  <si>
    <t>Non-Lighting</t>
  </si>
  <si>
    <t>School</t>
  </si>
  <si>
    <t xml:space="preserve">TSM CAPITAL COSTS ALLOCATION FOR DISTRIBUTION O&amp;M </t>
  </si>
  <si>
    <t>(TOTAL TSM CAPITAL COSTS PRIOR TO RULE 15/16 ADJUSTMENTS)</t>
  </si>
  <si>
    <t>TSM Capital Costs</t>
  </si>
  <si>
    <t>Allocation Factor</t>
  </si>
  <si>
    <t>Small Commercial</t>
  </si>
  <si>
    <t xml:space="preserve">Medium/Large Commercial/Industrial </t>
  </si>
  <si>
    <t>Trans</t>
  </si>
  <si>
    <t>DISTRIBUTION O&amp;M ALLOCATION</t>
  </si>
  <si>
    <t>TSM Capital Costs Allocator</t>
  </si>
  <si>
    <t>Cust Related Distribution O&amp;M</t>
  </si>
  <si>
    <t>A&amp;G O&amp;M Loader at</t>
  </si>
  <si>
    <t>O&amp;M per Cust</t>
  </si>
  <si>
    <t>Customers by Service Voltage Level</t>
  </si>
  <si>
    <t>O&amp;M Costs per Rate Schedule</t>
  </si>
  <si>
    <t>Average O&amp;M Costs per Customer per Rate Schedule</t>
  </si>
  <si>
    <t>Cust Related Distribution O&amp;M:</t>
  </si>
  <si>
    <t>Lighting Related Distribution O&amp;M:</t>
  </si>
  <si>
    <t>Lighting Related Distribution O&amp;M with A&amp;G applied to O&amp;M :</t>
  </si>
  <si>
    <r>
      <t xml:space="preserve">(1) </t>
    </r>
    <r>
      <rPr>
        <b/>
        <sz val="10"/>
        <rFont val="Arial"/>
        <family val="2"/>
      </rPr>
      <t>A&amp;G O&amp;M Loader</t>
    </r>
    <r>
      <rPr>
        <sz val="10"/>
        <rFont val="Arial"/>
        <family val="2"/>
      </rPr>
      <t>: based on a five-year average (2013-2017)  of administrative and general O&amp;M expenses.</t>
    </r>
  </si>
  <si>
    <r>
      <t xml:space="preserve">(2) </t>
    </r>
    <r>
      <rPr>
        <b/>
        <sz val="10"/>
        <rFont val="Arial"/>
        <family val="2"/>
      </rPr>
      <t>Cust Related Distribution O&amp;M</t>
    </r>
    <r>
      <rPr>
        <sz val="10"/>
        <rFont val="Arial"/>
        <family val="2"/>
      </rPr>
      <t>: based on 5-year average (2013-2017) of customer-related distribution O&amp;M expenses.</t>
    </r>
  </si>
  <si>
    <r>
      <t xml:space="preserve">(3) </t>
    </r>
    <r>
      <rPr>
        <b/>
        <sz val="10"/>
        <rFont val="Arial"/>
        <family val="2"/>
      </rPr>
      <t>Lighting Related Distribution O&amp;M</t>
    </r>
    <r>
      <rPr>
        <sz val="10"/>
        <rFont val="Arial"/>
        <family val="2"/>
      </rPr>
      <t>: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based on 5-year average (2013-2017) of lighting-related distribution O&amp;M expenses.</t>
    </r>
  </si>
  <si>
    <t>All Class</t>
  </si>
  <si>
    <t>Non-School</t>
  </si>
  <si>
    <t>Rule 15/16 Adjusted TSM (A)</t>
  </si>
  <si>
    <t>Unadjusted TSM (B)</t>
  </si>
  <si>
    <t>Adjustment Factor (C=A/B)</t>
  </si>
  <si>
    <t>School Class</t>
  </si>
  <si>
    <t>School Class Average</t>
  </si>
  <si>
    <t>(1) Transformers, Services and Meter ("TSM") costs represent the installed 2017 costs of TSM individual components for residential customers adjusted for the Rule 15/16 residential allowance cap of $3,241 per meter.</t>
  </si>
  <si>
    <t>(1) Transformers, Services and Meter ("TSM") costs represent the installed 2017 costs of TSM individual components for non-residential customers adjusted for the Rule 15/16 non-residential average allowance percentage.</t>
  </si>
  <si>
    <t xml:space="preserve">MARGINAL DISTRIBUTION CUSTOMER COST WORKPAPERS FOR SCHOOL CLASSES - CHAPTER 5 (SAXE) </t>
  </si>
  <si>
    <t>School Class TSM Summary</t>
  </si>
  <si>
    <t>School Class Cust Cost Summary</t>
  </si>
  <si>
    <t>School Class Transformer, Services, and Meter Costs by Rate Schedule</t>
  </si>
  <si>
    <t>School Class Marginal Distribution Customer Costs by Rate Schedule in 2020 Dollars</t>
  </si>
  <si>
    <t>Residential Class Marginal Distribution Customer Costs by Rate Schedule in 2020 Dollars</t>
  </si>
  <si>
    <t>Small Commercial Class Marginal Distribution Customer Costs by Service Voltage Level and kW Size in 2020 Dollars</t>
  </si>
  <si>
    <t>Medium/Large Commercial and Industrial Class Marginal Distribution Customer Costs by Service Voltage Level and kW Size in 2020 Dollars</t>
  </si>
  <si>
    <t>Schedule OL-TOU Marginal Distribution Customer Costs by Service Voltage Level and kW Size in 2020 Dollars</t>
  </si>
  <si>
    <t>Schedule AL-TOU Marginal Distribution Customer Costs by Service Voltage Level and kW Size in 2020 Dollars</t>
  </si>
  <si>
    <t>Schedule A6-TOU Marginal Distribution Customer Costs by Service Voltage Level and kW Size in 2020 Dollars</t>
  </si>
  <si>
    <t>Agricultural Class Marginal Distribution Customer Costs by Service Voltage Level and kW Size in 2020 Dollars</t>
  </si>
  <si>
    <t>Schedule TOU-PA Marginal Distribution Customer Costs by Service Voltage Level and kW Size in 2020 Dollars</t>
  </si>
  <si>
    <t>Street Light Class Marginal Distribution Customer Costs per Lamp in 2020 Dollars</t>
  </si>
  <si>
    <t>Schedule DG-R Marginal Distribution Customer Costs by Service Voltage Level and kW Size in 2020 Dollars</t>
  </si>
  <si>
    <t>Schedule TOU-A Marginal Distribution Customer Costs by Service Voltage Level and kW Size in 2020 Dollars</t>
  </si>
  <si>
    <t>Schedule A-TOU Marginal Distribution Customer Costs by Service Voltage Level and kW Size in 2020 Dollars</t>
  </si>
  <si>
    <t>(9) Input data in blue font comes from a separate source file.</t>
  </si>
  <si>
    <t>Residential Rule 15/16 Allowance</t>
  </si>
  <si>
    <r>
      <t xml:space="preserve">(8) </t>
    </r>
    <r>
      <rPr>
        <b/>
        <sz val="10"/>
        <rFont val="Arial"/>
        <family val="2"/>
      </rPr>
      <t>Rule 15/16 Allowances</t>
    </r>
    <r>
      <rPr>
        <sz val="10"/>
        <rFont val="Arial"/>
        <family val="2"/>
      </rPr>
      <t xml:space="preserve">: allowance reflects the capped allowance provided for residential TSM installations and the </t>
    </r>
  </si>
  <si>
    <t xml:space="preserve">     average percentage of costs paid by SDG&amp;E for non-residential TSM installations.</t>
  </si>
  <si>
    <t>Non-Residential Forecasted Rule 15/16 Allowance Percentage</t>
  </si>
  <si>
    <t>Medium/Large Commercial &amp; Industrial</t>
  </si>
  <si>
    <t>Agricultural</t>
  </si>
  <si>
    <t>SCHOOL TOTAL</t>
  </si>
  <si>
    <t>SCHOOL CUSTOMER COUNT</t>
  </si>
  <si>
    <t>Medium/Large Commercial&amp; Industrial</t>
  </si>
  <si>
    <t>Annualized Transformer Cost at 8.05%</t>
  </si>
  <si>
    <t>Annualized Services Cost at 7.08%</t>
  </si>
  <si>
    <t>Annualized Meter Cost at 10.78%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</si>
</sst>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* #,##0.0000_);_(* \(#,##0.0000\);_(* &quot;-&quot;??_);_(@_)"/>
    <numFmt numFmtId="167" formatCode="&quot;$&quot;#,##0"/>
    <numFmt numFmtId="168" formatCode="0.000%"/>
    <numFmt numFmtId="169" formatCode="&quot;$&quot;#,##0.00"/>
    <numFmt numFmtId="170" formatCode="_(* #,##0.0_);_(* \(#,##0.0\);_(* &quot;-&quot;?_);_(@_)"/>
    <numFmt numFmtId="171" formatCode="0.0"/>
    <numFmt numFmtId="172" formatCode="_(* #,##0.000_);_(* \(#,##0.000\);_(* &quot;-&quot;??_);_(@_)"/>
    <numFmt numFmtId="173" formatCode="0.0000%"/>
  </numFmts>
  <fonts count="2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8"/>
      <name val="Arial MT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7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</font>
    <font>
      <i/>
      <sz val="10"/>
      <name val="Arial"/>
      <family val="2"/>
    </font>
    <font>
      <sz val="10"/>
      <name val="Calibri"/>
      <family val="2"/>
    </font>
    <font>
      <u/>
      <sz val="10"/>
      <name val="Arial"/>
      <family val="2"/>
    </font>
    <font>
      <sz val="8.5"/>
      <name val="Arial"/>
      <family val="2"/>
    </font>
    <font>
      <u val="singleAccounting"/>
      <sz val="10"/>
      <name val="Arial"/>
      <family val="2"/>
    </font>
    <font>
      <b/>
      <u/>
      <sz val="10"/>
      <name val="Arial"/>
      <family val="2"/>
    </font>
    <font>
      <b/>
      <sz val="10"/>
      <color rgb="FF0000FF"/>
      <name val="Arial"/>
      <family val="2"/>
    </font>
    <font>
      <sz val="12"/>
      <name val="Times New Roman"/>
      <family val="1"/>
    </font>
    <font>
      <sz val="10"/>
      <color rgb="FF0000FF"/>
      <name val="Arial"/>
      <family val="2"/>
    </font>
    <font>
      <b/>
      <u val="singleAccounting"/>
      <sz val="10"/>
      <name val="Arial"/>
      <family val="2"/>
    </font>
    <font>
      <b/>
      <sz val="10"/>
      <color rgb="FF333333"/>
      <name val="Arial"/>
      <family val="2"/>
    </font>
    <font>
      <b/>
      <vertAlign val="superscript"/>
      <sz val="10"/>
      <name val="Arial"/>
      <family val="2"/>
    </font>
    <font>
      <i/>
      <u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</cellStyleXfs>
  <cellXfs count="774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Border="1"/>
    <xf numFmtId="0" fontId="0" fillId="0" borderId="8" xfId="0" applyBorder="1"/>
    <xf numFmtId="0" fontId="0" fillId="0" borderId="0" xfId="0" applyBorder="1"/>
    <xf numFmtId="164" fontId="0" fillId="0" borderId="0" xfId="0" applyNumberFormat="1" applyBorder="1"/>
    <xf numFmtId="164" fontId="0" fillId="0" borderId="7" xfId="0" applyNumberFormat="1" applyBorder="1"/>
    <xf numFmtId="0" fontId="0" fillId="0" borderId="4" xfId="0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0" xfId="0" applyNumberFormat="1"/>
    <xf numFmtId="0" fontId="0" fillId="0" borderId="0" xfId="0" quotePrefix="1"/>
    <xf numFmtId="16" fontId="3" fillId="0" borderId="8" xfId="0" quotePrefix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8" xfId="0" quotePrefix="1" applyFont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/>
    </xf>
    <xf numFmtId="164" fontId="3" fillId="0" borderId="0" xfId="0" applyNumberFormat="1" applyFont="1" applyBorder="1"/>
    <xf numFmtId="0" fontId="3" fillId="2" borderId="5" xfId="0" quotePrefix="1" applyFont="1" applyFill="1" applyBorder="1" applyAlignment="1">
      <alignment horizontal="center"/>
    </xf>
    <xf numFmtId="0" fontId="3" fillId="0" borderId="0" xfId="0" applyFont="1" applyBorder="1"/>
    <xf numFmtId="0" fontId="0" fillId="0" borderId="5" xfId="0" applyBorder="1"/>
    <xf numFmtId="0" fontId="3" fillId="0" borderId="8" xfId="0" applyFont="1" applyBorder="1" applyAlignment="1">
      <alignment horizontal="right"/>
    </xf>
    <xf numFmtId="43" fontId="3" fillId="0" borderId="0" xfId="1" applyFont="1" applyBorder="1" applyAlignment="1">
      <alignment horizontal="center"/>
    </xf>
    <xf numFmtId="43" fontId="0" fillId="0" borderId="0" xfId="0" applyNumberFormat="1"/>
    <xf numFmtId="164" fontId="3" fillId="0" borderId="0" xfId="1" applyNumberFormat="1" applyFont="1" applyBorder="1" applyAlignment="1"/>
    <xf numFmtId="43" fontId="3" fillId="0" borderId="0" xfId="1" applyNumberFormat="1" applyFont="1" applyFill="1" applyBorder="1" applyAlignment="1">
      <alignment horizontal="center"/>
    </xf>
    <xf numFmtId="43" fontId="3" fillId="0" borderId="7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8" xfId="0" applyFont="1" applyBorder="1" applyAlignment="1">
      <alignment horizontal="left"/>
    </xf>
    <xf numFmtId="16" fontId="3" fillId="0" borderId="8" xfId="0" quotePrefix="1" applyNumberFormat="1" applyFont="1" applyFill="1" applyBorder="1" applyAlignment="1">
      <alignment horizontal="left"/>
    </xf>
    <xf numFmtId="0" fontId="3" fillId="0" borderId="8" xfId="0" quotePrefix="1" applyFont="1" applyBorder="1" applyAlignment="1">
      <alignment horizontal="left"/>
    </xf>
    <xf numFmtId="0" fontId="0" fillId="0" borderId="4" xfId="0" applyBorder="1" applyAlignment="1">
      <alignment horizontal="left"/>
    </xf>
    <xf numFmtId="43" fontId="3" fillId="0" borderId="7" xfId="1" applyFont="1" applyBorder="1" applyAlignment="1">
      <alignment horizontal="center"/>
    </xf>
    <xf numFmtId="164" fontId="3" fillId="0" borderId="7" xfId="1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43" fontId="3" fillId="0" borderId="7" xfId="1" applyNumberFormat="1" applyFont="1" applyBorder="1" applyAlignment="1">
      <alignment horizontal="center"/>
    </xf>
    <xf numFmtId="164" fontId="3" fillId="0" borderId="7" xfId="1" applyNumberFormat="1" applyFont="1" applyFill="1" applyBorder="1" applyAlignment="1"/>
    <xf numFmtId="0" fontId="3" fillId="0" borderId="0" xfId="0" applyFont="1"/>
    <xf numFmtId="10" fontId="3" fillId="0" borderId="8" xfId="0" applyNumberFormat="1" applyFont="1" applyBorder="1" applyAlignment="1">
      <alignment horizontal="left"/>
    </xf>
    <xf numFmtId="164" fontId="3" fillId="0" borderId="0" xfId="0" applyNumberFormat="1" applyFont="1"/>
    <xf numFmtId="0" fontId="3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 applyFill="1"/>
    <xf numFmtId="0" fontId="0" fillId="0" borderId="0" xfId="0" applyFill="1"/>
    <xf numFmtId="6" fontId="3" fillId="2" borderId="9" xfId="0" applyNumberFormat="1" applyFont="1" applyFill="1" applyBorder="1" applyAlignment="1">
      <alignment horizontal="center"/>
    </xf>
    <xf numFmtId="6" fontId="3" fillId="0" borderId="0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4" xfId="0" applyFont="1" applyBorder="1"/>
    <xf numFmtId="164" fontId="3" fillId="0" borderId="0" xfId="1" applyNumberFormat="1" applyFont="1" applyBorder="1"/>
    <xf numFmtId="0" fontId="1" fillId="0" borderId="0" xfId="0" applyFont="1"/>
    <xf numFmtId="0" fontId="5" fillId="0" borderId="0" xfId="0" applyFont="1" applyProtection="1"/>
    <xf numFmtId="0" fontId="6" fillId="0" borderId="0" xfId="0" applyFont="1"/>
    <xf numFmtId="0" fontId="6" fillId="0" borderId="1" xfId="0" applyFont="1" applyBorder="1"/>
    <xf numFmtId="0" fontId="5" fillId="0" borderId="0" xfId="0" applyFont="1" applyAlignment="1" applyProtection="1">
      <alignment horizontal="centerContinuous"/>
    </xf>
    <xf numFmtId="0" fontId="6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6" fontId="3" fillId="0" borderId="0" xfId="0" quotePrefix="1" applyNumberFormat="1" applyFont="1" applyFill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10" fontId="3" fillId="0" borderId="0" xfId="0" applyNumberFormat="1" applyFont="1" applyBorder="1" applyAlignment="1">
      <alignment horizontal="left"/>
    </xf>
    <xf numFmtId="43" fontId="3" fillId="0" borderId="0" xfId="0" applyNumberFormat="1" applyFont="1" applyBorder="1" applyAlignment="1">
      <alignment horizontal="left"/>
    </xf>
    <xf numFmtId="6" fontId="3" fillId="2" borderId="11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right"/>
    </xf>
    <xf numFmtId="43" fontId="3" fillId="0" borderId="0" xfId="1" applyFont="1" applyFill="1" applyBorder="1" applyAlignment="1">
      <alignment horizontal="center"/>
    </xf>
    <xf numFmtId="0" fontId="3" fillId="2" borderId="4" xfId="0" quotePrefix="1" applyFont="1" applyFill="1" applyBorder="1" applyAlignment="1">
      <alignment horizontal="center"/>
    </xf>
    <xf numFmtId="43" fontId="3" fillId="0" borderId="7" xfId="1" applyFont="1" applyFill="1" applyBorder="1" applyAlignment="1">
      <alignment horizontal="center"/>
    </xf>
    <xf numFmtId="0" fontId="0" fillId="0" borderId="7" xfId="0" applyBorder="1"/>
    <xf numFmtId="0" fontId="3" fillId="2" borderId="9" xfId="0" applyFont="1" applyFill="1" applyBorder="1" applyAlignment="1">
      <alignment horizontal="center"/>
    </xf>
    <xf numFmtId="6" fontId="3" fillId="2" borderId="10" xfId="0" applyNumberFormat="1" applyFont="1" applyFill="1" applyBorder="1" applyAlignment="1">
      <alignment horizontal="center"/>
    </xf>
    <xf numFmtId="6" fontId="3" fillId="2" borderId="10" xfId="0" applyNumberFormat="1" applyFont="1" applyFill="1" applyBorder="1" applyAlignment="1">
      <alignment horizontal="right"/>
    </xf>
    <xf numFmtId="0" fontId="0" fillId="0" borderId="6" xfId="0" applyBorder="1"/>
    <xf numFmtId="0" fontId="3" fillId="0" borderId="7" xfId="0" applyFont="1" applyBorder="1"/>
    <xf numFmtId="164" fontId="3" fillId="0" borderId="0" xfId="1" applyNumberFormat="1" applyFont="1" applyFill="1" applyBorder="1" applyAlignment="1"/>
    <xf numFmtId="43" fontId="3" fillId="0" borderId="0" xfId="1" applyNumberFormat="1" applyFont="1" applyFill="1" applyBorder="1" applyAlignment="1"/>
    <xf numFmtId="0" fontId="3" fillId="0" borderId="11" xfId="0" applyFont="1" applyBorder="1"/>
    <xf numFmtId="0" fontId="0" fillId="0" borderId="0" xfId="0" applyBorder="1" applyAlignment="1">
      <alignment horizontal="left"/>
    </xf>
    <xf numFmtId="0" fontId="3" fillId="0" borderId="8" xfId="0" applyFont="1" applyFill="1" applyBorder="1" applyAlignment="1">
      <alignment horizontal="left"/>
    </xf>
    <xf numFmtId="43" fontId="3" fillId="0" borderId="5" xfId="1" applyFont="1" applyBorder="1" applyAlignment="1">
      <alignment horizontal="center"/>
    </xf>
    <xf numFmtId="43" fontId="3" fillId="0" borderId="6" xfId="1" applyFont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/>
    <xf numFmtId="6" fontId="3" fillId="2" borderId="1" xfId="0" applyNumberFormat="1" applyFont="1" applyFill="1" applyBorder="1" applyAlignment="1">
      <alignment horizontal="centerContinuous"/>
    </xf>
    <xf numFmtId="6" fontId="3" fillId="2" borderId="2" xfId="0" applyNumberFormat="1" applyFont="1" applyFill="1" applyBorder="1" applyAlignment="1">
      <alignment horizontal="centerContinuous"/>
    </xf>
    <xf numFmtId="6" fontId="3" fillId="2" borderId="3" xfId="0" applyNumberFormat="1" applyFont="1" applyFill="1" applyBorder="1" applyAlignment="1">
      <alignment horizontal="centerContinuous"/>
    </xf>
    <xf numFmtId="0" fontId="3" fillId="0" borderId="8" xfId="4" applyFont="1" applyFill="1" applyBorder="1" applyAlignment="1">
      <alignment horizontal="left"/>
    </xf>
    <xf numFmtId="0" fontId="3" fillId="0" borderId="0" xfId="0" quotePrefix="1" applyFont="1"/>
    <xf numFmtId="0" fontId="3" fillId="0" borderId="1" xfId="0" applyFont="1" applyBorder="1"/>
    <xf numFmtId="0" fontId="3" fillId="0" borderId="16" xfId="0" applyFont="1" applyBorder="1"/>
    <xf numFmtId="164" fontId="8" fillId="0" borderId="0" xfId="1" applyNumberFormat="1" applyFont="1" applyFill="1" applyBorder="1" applyAlignment="1">
      <alignment horizontal="center"/>
    </xf>
    <xf numFmtId="166" fontId="8" fillId="0" borderId="0" xfId="1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0" fontId="0" fillId="0" borderId="8" xfId="0" applyFill="1" applyBorder="1"/>
    <xf numFmtId="0" fontId="3" fillId="2" borderId="1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0" fillId="0" borderId="8" xfId="0" applyNumberFormat="1" applyBorder="1"/>
    <xf numFmtId="0" fontId="3" fillId="2" borderId="6" xfId="0" quotePrefix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center"/>
    </xf>
    <xf numFmtId="164" fontId="0" fillId="0" borderId="4" xfId="0" applyNumberFormat="1" applyBorder="1"/>
    <xf numFmtId="43" fontId="3" fillId="0" borderId="8" xfId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left" indent="2"/>
    </xf>
    <xf numFmtId="164" fontId="8" fillId="0" borderId="8" xfId="1" applyNumberFormat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43" fontId="3" fillId="0" borderId="8" xfId="1" applyNumberFormat="1" applyFont="1" applyBorder="1" applyAlignment="1">
      <alignment horizontal="center"/>
    </xf>
    <xf numFmtId="43" fontId="3" fillId="0" borderId="4" xfId="1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0" fillId="0" borderId="11" xfId="0" applyBorder="1"/>
    <xf numFmtId="43" fontId="3" fillId="0" borderId="8" xfId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Fill="1" applyBorder="1" applyAlignment="1">
      <alignment horizontal="right"/>
    </xf>
    <xf numFmtId="0" fontId="3" fillId="0" borderId="11" xfId="0" applyFont="1" applyBorder="1" applyAlignment="1">
      <alignment horizontal="center"/>
    </xf>
    <xf numFmtId="16" fontId="3" fillId="0" borderId="11" xfId="0" quotePrefix="1" applyNumberFormat="1" applyFont="1" applyFill="1" applyBorder="1" applyAlignment="1">
      <alignment horizontal="center"/>
    </xf>
    <xf numFmtId="0" fontId="3" fillId="0" borderId="11" xfId="0" quotePrefix="1" applyFont="1" applyBorder="1" applyAlignment="1">
      <alignment horizontal="center"/>
    </xf>
    <xf numFmtId="0" fontId="3" fillId="0" borderId="11" xfId="0" applyFont="1" applyBorder="1" applyAlignment="1">
      <alignment horizontal="right"/>
    </xf>
    <xf numFmtId="0" fontId="0" fillId="0" borderId="9" xfId="0" applyBorder="1"/>
    <xf numFmtId="43" fontId="3" fillId="0" borderId="0" xfId="0" applyNumberFormat="1" applyFont="1"/>
    <xf numFmtId="164" fontId="3" fillId="0" borderId="2" xfId="0" applyNumberFormat="1" applyFont="1" applyBorder="1"/>
    <xf numFmtId="164" fontId="3" fillId="0" borderId="17" xfId="0" applyNumberFormat="1" applyFont="1" applyBorder="1"/>
    <xf numFmtId="0" fontId="3" fillId="0" borderId="7" xfId="0" applyFont="1" applyBorder="1" applyAlignment="1">
      <alignment horizontal="left"/>
    </xf>
    <xf numFmtId="16" fontId="3" fillId="0" borderId="7" xfId="0" quotePrefix="1" applyNumberFormat="1" applyFont="1" applyFill="1" applyBorder="1" applyAlignment="1">
      <alignment horizontal="left"/>
    </xf>
    <xf numFmtId="43" fontId="3" fillId="0" borderId="0" xfId="1" applyNumberFormat="1" applyFont="1" applyBorder="1" applyAlignment="1">
      <alignment horizontal="center"/>
    </xf>
    <xf numFmtId="6" fontId="3" fillId="2" borderId="10" xfId="0" applyNumberFormat="1" applyFont="1" applyFill="1" applyBorder="1" applyAlignment="1"/>
    <xf numFmtId="164" fontId="3" fillId="0" borderId="11" xfId="1" applyNumberFormat="1" applyFont="1" applyFill="1" applyBorder="1" applyAlignment="1">
      <alignment horizontal="center"/>
    </xf>
    <xf numFmtId="164" fontId="0" fillId="0" borderId="9" xfId="0" applyNumberFormat="1" applyBorder="1"/>
    <xf numFmtId="164" fontId="3" fillId="0" borderId="8" xfId="1" applyNumberFormat="1" applyFont="1" applyBorder="1" applyAlignment="1"/>
    <xf numFmtId="0" fontId="0" fillId="0" borderId="0" xfId="0" applyAlignment="1">
      <alignment horizontal="left" indent="1"/>
    </xf>
    <xf numFmtId="164" fontId="3" fillId="0" borderId="15" xfId="1" applyNumberFormat="1" applyFont="1" applyBorder="1"/>
    <xf numFmtId="0" fontId="3" fillId="0" borderId="0" xfId="0" applyFont="1" applyAlignment="1">
      <alignment horizontal="left"/>
    </xf>
    <xf numFmtId="164" fontId="3" fillId="3" borderId="19" xfId="1" applyNumberFormat="1" applyFont="1" applyFill="1" applyBorder="1"/>
    <xf numFmtId="164" fontId="3" fillId="3" borderId="20" xfId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4" fontId="0" fillId="0" borderId="0" xfId="1" applyNumberFormat="1" applyFont="1" applyFill="1" applyBorder="1"/>
    <xf numFmtId="164" fontId="3" fillId="0" borderId="0" xfId="1" applyNumberFormat="1" applyFont="1" applyFill="1" applyBorder="1"/>
    <xf numFmtId="164" fontId="3" fillId="5" borderId="13" xfId="1" applyNumberFormat="1" applyFont="1" applyFill="1" applyBorder="1" applyAlignment="1">
      <alignment horizontal="center"/>
    </xf>
    <xf numFmtId="164" fontId="3" fillId="0" borderId="0" xfId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43" fontId="3" fillId="0" borderId="8" xfId="0" applyNumberFormat="1" applyFont="1" applyBorder="1" applyAlignment="1">
      <alignment horizontal="left"/>
    </xf>
    <xf numFmtId="164" fontId="3" fillId="0" borderId="11" xfId="0" applyNumberFormat="1" applyFont="1" applyFill="1" applyBorder="1" applyAlignment="1">
      <alignment horizontal="center"/>
    </xf>
    <xf numFmtId="164" fontId="3" fillId="0" borderId="11" xfId="0" applyNumberFormat="1" applyFont="1" applyBorder="1"/>
    <xf numFmtId="0" fontId="0" fillId="3" borderId="0" xfId="0" applyFill="1"/>
    <xf numFmtId="164" fontId="3" fillId="0" borderId="0" xfId="0" applyNumberFormat="1" applyFont="1" applyFill="1" applyBorder="1"/>
    <xf numFmtId="164" fontId="0" fillId="0" borderId="11" xfId="0" applyNumberFormat="1" applyBorder="1"/>
    <xf numFmtId="164" fontId="3" fillId="6" borderId="13" xfId="1" applyNumberFormat="1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168" fontId="0" fillId="0" borderId="0" xfId="5" applyNumberFormat="1" applyFont="1"/>
    <xf numFmtId="43" fontId="3" fillId="0" borderId="0" xfId="1" applyFont="1"/>
    <xf numFmtId="0" fontId="3" fillId="0" borderId="8" xfId="0" applyFont="1" applyFill="1" applyBorder="1" applyAlignment="1">
      <alignment horizontal="left" indent="1"/>
    </xf>
    <xf numFmtId="0" fontId="3" fillId="2" borderId="11" xfId="0" applyFont="1" applyFill="1" applyBorder="1" applyAlignment="1">
      <alignment horizontal="center"/>
    </xf>
    <xf numFmtId="43" fontId="3" fillId="0" borderId="8" xfId="1" applyNumberFormat="1" applyFont="1" applyBorder="1" applyAlignment="1">
      <alignment horizontal="right"/>
    </xf>
    <xf numFmtId="43" fontId="3" fillId="0" borderId="0" xfId="1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6" fontId="3" fillId="2" borderId="8" xfId="0" applyNumberFormat="1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164" fontId="3" fillId="0" borderId="5" xfId="0" applyNumberFormat="1" applyFont="1" applyFill="1" applyBorder="1"/>
    <xf numFmtId="164" fontId="3" fillId="0" borderId="8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5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3" fontId="0" fillId="0" borderId="0" xfId="0" applyNumberFormat="1"/>
    <xf numFmtId="0" fontId="3" fillId="0" borderId="9" xfId="0" applyFont="1" applyBorder="1" applyAlignment="1">
      <alignment horizontal="center"/>
    </xf>
    <xf numFmtId="164" fontId="3" fillId="0" borderId="4" xfId="1" applyNumberFormat="1" applyFont="1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5" fontId="0" fillId="0" borderId="0" xfId="5" applyNumberFormat="1" applyFont="1" applyBorder="1"/>
    <xf numFmtId="164" fontId="3" fillId="0" borderId="6" xfId="1" applyNumberFormat="1" applyFont="1" applyFill="1" applyBorder="1" applyAlignment="1">
      <alignment horizontal="center"/>
    </xf>
    <xf numFmtId="3" fontId="3" fillId="0" borderId="8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3" fillId="0" borderId="7" xfId="1" applyNumberFormat="1" applyFont="1" applyFill="1" applyBorder="1" applyAlignment="1">
      <alignment horizontal="right"/>
    </xf>
    <xf numFmtId="3" fontId="3" fillId="0" borderId="11" xfId="0" applyNumberFormat="1" applyFont="1" applyFill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3" fontId="0" fillId="0" borderId="0" xfId="0" applyNumberFormat="1" applyFill="1"/>
    <xf numFmtId="0" fontId="3" fillId="2" borderId="10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4" fontId="8" fillId="0" borderId="4" xfId="1" applyNumberFormat="1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3" fontId="3" fillId="0" borderId="4" xfId="1" applyNumberFormat="1" applyFont="1" applyFill="1" applyBorder="1" applyAlignment="1">
      <alignment horizontal="right"/>
    </xf>
    <xf numFmtId="3" fontId="3" fillId="0" borderId="5" xfId="1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3" fontId="3" fillId="0" borderId="7" xfId="0" applyNumberFormat="1" applyFont="1" applyBorder="1" applyAlignment="1">
      <alignment horizontal="right"/>
    </xf>
    <xf numFmtId="3" fontId="3" fillId="0" borderId="6" xfId="0" applyNumberFormat="1" applyFont="1" applyBorder="1" applyAlignment="1">
      <alignment horizontal="right"/>
    </xf>
    <xf numFmtId="164" fontId="0" fillId="0" borderId="9" xfId="0" applyNumberFormat="1" applyFill="1" applyBorder="1"/>
    <xf numFmtId="164" fontId="3" fillId="0" borderId="16" xfId="0" applyNumberFormat="1" applyFont="1" applyBorder="1"/>
    <xf numFmtId="164" fontId="3" fillId="0" borderId="21" xfId="0" applyNumberFormat="1" applyFont="1" applyBorder="1"/>
    <xf numFmtId="0" fontId="3" fillId="0" borderId="4" xfId="0" applyFont="1" applyFill="1" applyBorder="1" applyAlignment="1">
      <alignment horizontal="center"/>
    </xf>
    <xf numFmtId="0" fontId="3" fillId="2" borderId="7" xfId="0" applyFont="1" applyFill="1" applyBorder="1" applyAlignment="1"/>
    <xf numFmtId="0" fontId="3" fillId="0" borderId="11" xfId="0" quotePrefix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right"/>
    </xf>
    <xf numFmtId="3" fontId="3" fillId="0" borderId="6" xfId="0" applyNumberFormat="1" applyFont="1" applyFill="1" applyBorder="1" applyAlignment="1">
      <alignment horizontal="right"/>
    </xf>
    <xf numFmtId="3" fontId="3" fillId="0" borderId="11" xfId="1" applyNumberFormat="1" applyFont="1" applyFill="1" applyBorder="1" applyAlignment="1">
      <alignment horizontal="right"/>
    </xf>
    <xf numFmtId="164" fontId="3" fillId="0" borderId="18" xfId="0" applyNumberFormat="1" applyFont="1" applyFill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4" fontId="3" fillId="0" borderId="16" xfId="1" applyNumberFormat="1" applyFont="1" applyFill="1" applyBorder="1" applyAlignment="1">
      <alignment horizontal="center"/>
    </xf>
    <xf numFmtId="164" fontId="3" fillId="0" borderId="17" xfId="1" applyNumberFormat="1" applyFont="1" applyFill="1" applyBorder="1" applyAlignment="1">
      <alignment horizontal="center"/>
    </xf>
    <xf numFmtId="164" fontId="3" fillId="0" borderId="18" xfId="1" applyNumberFormat="1" applyFont="1" applyFill="1" applyBorder="1" applyAlignment="1">
      <alignment horizontal="center"/>
    </xf>
    <xf numFmtId="0" fontId="0" fillId="0" borderId="2" xfId="0" applyBorder="1"/>
    <xf numFmtId="0" fontId="3" fillId="0" borderId="9" xfId="0" applyFont="1" applyFill="1" applyBorder="1" applyAlignment="1">
      <alignment horizontal="center"/>
    </xf>
    <xf numFmtId="0" fontId="0" fillId="0" borderId="1" xfId="0" applyBorder="1"/>
    <xf numFmtId="0" fontId="3" fillId="0" borderId="4" xfId="0" applyFont="1" applyBorder="1" applyAlignment="1">
      <alignment horizontal="center"/>
    </xf>
    <xf numFmtId="3" fontId="3" fillId="0" borderId="2" xfId="0" applyNumberFormat="1" applyFont="1" applyBorder="1"/>
    <xf numFmtId="3" fontId="3" fillId="0" borderId="0" xfId="0" applyNumberFormat="1" applyFont="1" applyBorder="1"/>
    <xf numFmtId="3" fontId="3" fillId="0" borderId="5" xfId="0" applyNumberFormat="1" applyFont="1" applyBorder="1"/>
    <xf numFmtId="3" fontId="3" fillId="0" borderId="3" xfId="0" applyNumberFormat="1" applyFont="1" applyBorder="1"/>
    <xf numFmtId="3" fontId="3" fillId="0" borderId="7" xfId="0" applyNumberFormat="1" applyFont="1" applyBorder="1"/>
    <xf numFmtId="3" fontId="3" fillId="0" borderId="6" xfId="0" applyNumberFormat="1" applyFont="1" applyBorder="1"/>
    <xf numFmtId="3" fontId="3" fillId="0" borderId="10" xfId="0" applyNumberFormat="1" applyFont="1" applyBorder="1"/>
    <xf numFmtId="3" fontId="3" fillId="0" borderId="11" xfId="0" applyNumberFormat="1" applyFont="1" applyBorder="1"/>
    <xf numFmtId="3" fontId="3" fillId="0" borderId="9" xfId="0" applyNumberFormat="1" applyFont="1" applyBorder="1"/>
    <xf numFmtId="3" fontId="3" fillId="0" borderId="9" xfId="0" applyNumberFormat="1" applyFont="1" applyBorder="1" applyAlignment="1">
      <alignment horizontal="right"/>
    </xf>
    <xf numFmtId="3" fontId="3" fillId="0" borderId="1" xfId="0" applyNumberFormat="1" applyFont="1" applyBorder="1"/>
    <xf numFmtId="3" fontId="3" fillId="0" borderId="8" xfId="0" applyNumberFormat="1" applyFont="1" applyBorder="1"/>
    <xf numFmtId="3" fontId="3" fillId="0" borderId="4" xfId="0" applyNumberFormat="1" applyFont="1" applyBorder="1"/>
    <xf numFmtId="164" fontId="0" fillId="0" borderId="3" xfId="0" applyNumberFormat="1" applyBorder="1"/>
    <xf numFmtId="0" fontId="3" fillId="4" borderId="9" xfId="0" applyFont="1" applyFill="1" applyBorder="1" applyAlignment="1">
      <alignment horizontal="center"/>
    </xf>
    <xf numFmtId="0" fontId="0" fillId="0" borderId="9" xfId="0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3" fillId="0" borderId="7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9" xfId="0" quotePrefix="1" applyFont="1" applyFill="1" applyBorder="1" applyAlignment="1">
      <alignment horizontal="center"/>
    </xf>
    <xf numFmtId="0" fontId="3" fillId="0" borderId="8" xfId="0" quotePrefix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11" fillId="0" borderId="0" xfId="0" applyNumberFormat="1" applyFont="1"/>
    <xf numFmtId="164" fontId="1" fillId="0" borderId="0" xfId="1" applyNumberFormat="1" applyFont="1" applyFill="1" applyBorder="1" applyAlignment="1">
      <alignment horizontal="center"/>
    </xf>
    <xf numFmtId="0" fontId="3" fillId="0" borderId="16" xfId="0" applyFont="1" applyBorder="1" applyAlignment="1">
      <alignment horizontal="left"/>
    </xf>
    <xf numFmtId="43" fontId="3" fillId="0" borderId="16" xfId="1" applyFont="1" applyBorder="1" applyAlignment="1">
      <alignment horizontal="center"/>
    </xf>
    <xf numFmtId="43" fontId="3" fillId="0" borderId="17" xfId="1" applyFont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43" fontId="3" fillId="0" borderId="7" xfId="0" applyNumberFormat="1" applyFont="1" applyBorder="1" applyAlignment="1">
      <alignment horizontal="left"/>
    </xf>
    <xf numFmtId="0" fontId="3" fillId="0" borderId="7" xfId="0" quotePrefix="1" applyFont="1" applyBorder="1" applyAlignment="1">
      <alignment horizontal="left"/>
    </xf>
    <xf numFmtId="10" fontId="3" fillId="0" borderId="7" xfId="0" applyNumberFormat="1" applyFont="1" applyBorder="1" applyAlignment="1">
      <alignment horizontal="left"/>
    </xf>
    <xf numFmtId="43" fontId="3" fillId="0" borderId="4" xfId="0" applyNumberFormat="1" applyFont="1" applyBorder="1" applyAlignment="1">
      <alignment horizontal="left"/>
    </xf>
    <xf numFmtId="43" fontId="3" fillId="0" borderId="5" xfId="0" applyNumberFormat="1" applyFont="1" applyBorder="1" applyAlignment="1">
      <alignment horizontal="left"/>
    </xf>
    <xf numFmtId="43" fontId="3" fillId="0" borderId="6" xfId="0" applyNumberFormat="1" applyFont="1" applyBorder="1" applyAlignment="1">
      <alignment horizontal="left"/>
    </xf>
    <xf numFmtId="43" fontId="3" fillId="0" borderId="8" xfId="1" applyNumberFormat="1" applyFont="1" applyFill="1" applyBorder="1" applyAlignment="1"/>
    <xf numFmtId="43" fontId="3" fillId="0" borderId="7" xfId="1" applyNumberFormat="1" applyFont="1" applyFill="1" applyBorder="1" applyAlignment="1"/>
    <xf numFmtId="43" fontId="3" fillId="0" borderId="7" xfId="1" applyNumberFormat="1" applyFont="1" applyBorder="1" applyAlignment="1">
      <alignment horizontal="right"/>
    </xf>
    <xf numFmtId="43" fontId="3" fillId="0" borderId="18" xfId="1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64" fontId="11" fillId="0" borderId="0" xfId="1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164" fontId="3" fillId="5" borderId="13" xfId="1" applyNumberFormat="1" applyFont="1" applyFill="1" applyBorder="1" applyAlignment="1">
      <alignment horizontal="center"/>
    </xf>
    <xf numFmtId="43" fontId="0" fillId="0" borderId="0" xfId="1" applyFont="1"/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11" fillId="0" borderId="0" xfId="0" applyFont="1"/>
    <xf numFmtId="164" fontId="0" fillId="0" borderId="2" xfId="0" applyNumberFormat="1" applyBorder="1"/>
    <xf numFmtId="43" fontId="3" fillId="0" borderId="5" xfId="1" applyNumberFormat="1" applyFont="1" applyFill="1" applyBorder="1" applyAlignment="1"/>
    <xf numFmtId="0" fontId="3" fillId="2" borderId="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3" fontId="0" fillId="0" borderId="0" xfId="0" applyNumberFormat="1" applyBorder="1"/>
    <xf numFmtId="164" fontId="3" fillId="5" borderId="13" xfId="1" applyNumberFormat="1" applyFont="1" applyFill="1" applyBorder="1" applyAlignment="1">
      <alignment horizontal="center"/>
    </xf>
    <xf numFmtId="164" fontId="3" fillId="0" borderId="0" xfId="1" applyNumberFormat="1" applyFont="1"/>
    <xf numFmtId="164" fontId="0" fillId="0" borderId="0" xfId="1" applyNumberFormat="1" applyFont="1" applyBorder="1"/>
    <xf numFmtId="164" fontId="13" fillId="0" borderId="0" xfId="1" applyNumberFormat="1" applyFont="1" applyBorder="1"/>
    <xf numFmtId="169" fontId="0" fillId="0" borderId="0" xfId="1" applyNumberFormat="1" applyFont="1"/>
    <xf numFmtId="169" fontId="3" fillId="6" borderId="13" xfId="1" applyNumberFormat="1" applyFont="1" applyFill="1" applyBorder="1" applyAlignment="1">
      <alignment horizontal="center"/>
    </xf>
    <xf numFmtId="169" fontId="1" fillId="0" borderId="0" xfId="1" applyNumberFormat="1" applyFont="1"/>
    <xf numFmtId="169" fontId="3" fillId="0" borderId="15" xfId="1" applyNumberFormat="1" applyFont="1" applyBorder="1"/>
    <xf numFmtId="169" fontId="0" fillId="0" borderId="15" xfId="1" applyNumberFormat="1" applyFont="1" applyBorder="1"/>
    <xf numFmtId="169" fontId="3" fillId="0" borderId="0" xfId="1" applyNumberFormat="1" applyFont="1"/>
    <xf numFmtId="164" fontId="15" fillId="0" borderId="0" xfId="1" applyNumberFormat="1" applyFont="1" applyBorder="1"/>
    <xf numFmtId="164" fontId="1" fillId="0" borderId="0" xfId="1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4" fontId="3" fillId="0" borderId="6" xfId="0" applyNumberFormat="1" applyFont="1" applyFill="1" applyBorder="1"/>
    <xf numFmtId="170" fontId="0" fillId="0" borderId="0" xfId="0" applyNumberFormat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0" fontId="0" fillId="0" borderId="0" xfId="5" applyNumberFormat="1" applyFont="1"/>
    <xf numFmtId="9" fontId="8" fillId="0" borderId="0" xfId="5" applyFont="1" applyFill="1" applyBorder="1" applyAlignment="1">
      <alignment horizontal="center"/>
    </xf>
    <xf numFmtId="3" fontId="3" fillId="0" borderId="9" xfId="1" applyNumberFormat="1" applyFont="1" applyFill="1" applyBorder="1" applyAlignment="1">
      <alignment horizontal="right"/>
    </xf>
    <xf numFmtId="164" fontId="3" fillId="3" borderId="0" xfId="1" applyNumberFormat="1" applyFont="1" applyFill="1" applyBorder="1" applyAlignment="1">
      <alignment horizontal="center"/>
    </xf>
    <xf numFmtId="164" fontId="3" fillId="5" borderId="0" xfId="1" applyNumberFormat="1" applyFont="1" applyFill="1" applyBorder="1" applyAlignment="1">
      <alignment horizontal="center"/>
    </xf>
    <xf numFmtId="164" fontId="13" fillId="0" borderId="0" xfId="1" applyNumberFormat="1" applyFont="1" applyBorder="1" applyAlignment="1">
      <alignment horizontal="center"/>
    </xf>
    <xf numFmtId="169" fontId="3" fillId="0" borderId="0" xfId="1" applyNumberFormat="1" applyFont="1" applyFill="1" applyBorder="1" applyAlignment="1">
      <alignment horizontal="center"/>
    </xf>
    <xf numFmtId="169" fontId="3" fillId="0" borderId="0" xfId="1" applyNumberFormat="1" applyFont="1" applyFill="1" applyBorder="1" applyAlignment="1">
      <alignment horizontal="center" wrapText="1"/>
    </xf>
    <xf numFmtId="0" fontId="3" fillId="0" borderId="0" xfId="0" applyFont="1" applyFill="1"/>
    <xf numFmtId="164" fontId="3" fillId="0" borderId="0" xfId="0" applyNumberFormat="1" applyFont="1" applyFill="1"/>
    <xf numFmtId="0" fontId="3" fillId="0" borderId="0" xfId="0" applyFont="1" applyFill="1" applyAlignment="1">
      <alignment horizontal="right"/>
    </xf>
    <xf numFmtId="3" fontId="3" fillId="0" borderId="0" xfId="0" applyNumberFormat="1" applyFont="1" applyFill="1"/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1" fontId="3" fillId="0" borderId="21" xfId="0" applyNumberFormat="1" applyFont="1" applyBorder="1" applyAlignment="1">
      <alignment horizontal="right"/>
    </xf>
    <xf numFmtId="41" fontId="3" fillId="0" borderId="17" xfId="0" applyNumberFormat="1" applyFont="1" applyBorder="1" applyAlignment="1">
      <alignment horizontal="right"/>
    </xf>
    <xf numFmtId="41" fontId="3" fillId="0" borderId="8" xfId="0" applyNumberFormat="1" applyFont="1" applyBorder="1"/>
    <xf numFmtId="41" fontId="3" fillId="0" borderId="0" xfId="0" applyNumberFormat="1" applyFont="1" applyBorder="1"/>
    <xf numFmtId="41" fontId="3" fillId="0" borderId="7" xfId="0" applyNumberFormat="1" applyFont="1" applyBorder="1"/>
    <xf numFmtId="41" fontId="3" fillId="0" borderId="11" xfId="0" applyNumberFormat="1" applyFont="1" applyBorder="1"/>
    <xf numFmtId="41" fontId="3" fillId="0" borderId="4" xfId="0" applyNumberFormat="1" applyFont="1" applyBorder="1"/>
    <xf numFmtId="41" fontId="3" fillId="0" borderId="5" xfId="0" applyNumberFormat="1" applyFont="1" applyBorder="1"/>
    <xf numFmtId="41" fontId="3" fillId="0" borderId="6" xfId="0" applyNumberFormat="1" applyFont="1" applyBorder="1"/>
    <xf numFmtId="41" fontId="3" fillId="0" borderId="9" xfId="0" applyNumberFormat="1" applyFont="1" applyBorder="1"/>
    <xf numFmtId="41" fontId="3" fillId="0" borderId="16" xfId="0" applyNumberFormat="1" applyFont="1" applyBorder="1" applyAlignment="1">
      <alignment horizontal="right"/>
    </xf>
    <xf numFmtId="41" fontId="3" fillId="0" borderId="18" xfId="0" applyNumberFormat="1" applyFont="1" applyBorder="1" applyAlignment="1">
      <alignment horizontal="right"/>
    </xf>
    <xf numFmtId="41" fontId="3" fillId="0" borderId="11" xfId="0" applyNumberFormat="1" applyFont="1" applyFill="1" applyBorder="1" applyAlignment="1">
      <alignment horizontal="right"/>
    </xf>
    <xf numFmtId="41" fontId="3" fillId="0" borderId="9" xfId="0" applyNumberFormat="1" applyFont="1" applyFill="1" applyBorder="1" applyAlignment="1">
      <alignment horizontal="right"/>
    </xf>
    <xf numFmtId="41" fontId="3" fillId="0" borderId="6" xfId="0" applyNumberFormat="1" applyFont="1" applyFill="1" applyBorder="1" applyAlignment="1">
      <alignment horizontal="right"/>
    </xf>
    <xf numFmtId="43" fontId="3" fillId="0" borderId="16" xfId="1" applyNumberFormat="1" applyFont="1" applyFill="1" applyBorder="1" applyAlignment="1"/>
    <xf numFmtId="43" fontId="3" fillId="0" borderId="1" xfId="1" applyNumberFormat="1" applyFont="1" applyFill="1" applyBorder="1" applyAlignment="1"/>
    <xf numFmtId="43" fontId="3" fillId="0" borderId="4" xfId="1" applyNumberFormat="1" applyFont="1" applyFill="1" applyBorder="1" applyAlignment="1"/>
    <xf numFmtId="43" fontId="3" fillId="0" borderId="17" xfId="1" applyNumberFormat="1" applyFont="1" applyFill="1" applyBorder="1" applyAlignment="1"/>
    <xf numFmtId="43" fontId="3" fillId="0" borderId="2" xfId="1" applyNumberFormat="1" applyFont="1" applyFill="1" applyBorder="1" applyAlignment="1"/>
    <xf numFmtId="43" fontId="3" fillId="0" borderId="18" xfId="1" applyNumberFormat="1" applyFont="1" applyFill="1" applyBorder="1" applyAlignment="1"/>
    <xf numFmtId="43" fontId="3" fillId="0" borderId="3" xfId="1" applyNumberFormat="1" applyFont="1" applyFill="1" applyBorder="1" applyAlignment="1"/>
    <xf numFmtId="43" fontId="3" fillId="0" borderId="6" xfId="1" applyNumberFormat="1" applyFont="1" applyFill="1" applyBorder="1" applyAlignment="1"/>
    <xf numFmtId="41" fontId="11" fillId="0" borderId="0" xfId="0" applyNumberFormat="1" applyFont="1"/>
    <xf numFmtId="16" fontId="3" fillId="0" borderId="11" xfId="0" quotePrefix="1" applyNumberFormat="1" applyFont="1" applyBorder="1" applyAlignment="1">
      <alignment horizontal="center"/>
    </xf>
    <xf numFmtId="171" fontId="3" fillId="0" borderId="0" xfId="1" applyNumberFormat="1" applyFont="1"/>
    <xf numFmtId="0" fontId="3" fillId="0" borderId="0" xfId="0" applyFont="1" applyAlignment="1">
      <alignment horizontal="center"/>
    </xf>
    <xf numFmtId="0" fontId="3" fillId="0" borderId="10" xfId="0" applyFont="1" applyFill="1" applyBorder="1" applyAlignment="1">
      <alignment horizontal="left"/>
    </xf>
    <xf numFmtId="16" fontId="3" fillId="0" borderId="11" xfId="0" quotePrefix="1" applyNumberFormat="1" applyFont="1" applyFill="1" applyBorder="1" applyAlignment="1">
      <alignment horizontal="left"/>
    </xf>
    <xf numFmtId="0" fontId="3" fillId="0" borderId="11" xfId="0" quotePrefix="1" applyFont="1" applyBorder="1" applyAlignment="1">
      <alignment horizontal="left"/>
    </xf>
    <xf numFmtId="10" fontId="3" fillId="0" borderId="11" xfId="0" applyNumberFormat="1" applyFont="1" applyBorder="1" applyAlignment="1">
      <alignment horizontal="left"/>
    </xf>
    <xf numFmtId="0" fontId="3" fillId="0" borderId="11" xfId="4" applyFont="1" applyFill="1" applyBorder="1" applyAlignment="1">
      <alignment horizontal="left"/>
    </xf>
    <xf numFmtId="0" fontId="3" fillId="0" borderId="21" xfId="0" applyFont="1" applyBorder="1" applyAlignment="1">
      <alignment horizontal="left"/>
    </xf>
    <xf numFmtId="41" fontId="3" fillId="0" borderId="21" xfId="0" applyNumberFormat="1" applyFont="1" applyFill="1" applyBorder="1" applyAlignment="1">
      <alignment horizontal="right"/>
    </xf>
    <xf numFmtId="41" fontId="3" fillId="0" borderId="16" xfId="0" applyNumberFormat="1" applyFont="1" applyFill="1" applyBorder="1" applyAlignment="1">
      <alignment horizontal="right"/>
    </xf>
    <xf numFmtId="0" fontId="3" fillId="4" borderId="4" xfId="0" applyFont="1" applyFill="1" applyBorder="1" applyAlignment="1">
      <alignment horizontal="center"/>
    </xf>
    <xf numFmtId="169" fontId="3" fillId="0" borderId="0" xfId="0" applyNumberFormat="1" applyFont="1" applyFill="1" applyBorder="1"/>
    <xf numFmtId="169" fontId="3" fillId="0" borderId="18" xfId="0" applyNumberFormat="1" applyFont="1" applyBorder="1"/>
    <xf numFmtId="0" fontId="3" fillId="0" borderId="3" xfId="0" applyFont="1" applyBorder="1"/>
    <xf numFmtId="169" fontId="3" fillId="0" borderId="7" xfId="0" applyNumberFormat="1" applyFont="1" applyBorder="1"/>
    <xf numFmtId="169" fontId="3" fillId="0" borderId="6" xfId="0" applyNumberFormat="1" applyFont="1" applyBorder="1"/>
    <xf numFmtId="41" fontId="3" fillId="0" borderId="1" xfId="0" applyNumberFormat="1" applyFont="1" applyBorder="1"/>
    <xf numFmtId="41" fontId="3" fillId="0" borderId="2" xfId="0" applyNumberFormat="1" applyFont="1" applyBorder="1"/>
    <xf numFmtId="41" fontId="3" fillId="0" borderId="3" xfId="0" applyNumberFormat="1" applyFont="1" applyBorder="1"/>
    <xf numFmtId="0" fontId="3" fillId="0" borderId="0" xfId="0" applyFont="1" applyAlignment="1">
      <alignment horizontal="center"/>
    </xf>
    <xf numFmtId="9" fontId="0" fillId="0" borderId="0" xfId="5" applyFont="1"/>
    <xf numFmtId="165" fontId="0" fillId="0" borderId="0" xfId="5" applyNumberFormat="1" applyFont="1"/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Border="1" applyAlignment="1">
      <alignment horizontal="center"/>
    </xf>
    <xf numFmtId="9" fontId="3" fillId="0" borderId="0" xfId="5" applyFont="1"/>
    <xf numFmtId="9" fontId="3" fillId="0" borderId="0" xfId="5" applyNumberFormat="1" applyFont="1"/>
    <xf numFmtId="164" fontId="17" fillId="0" borderId="0" xfId="1" applyNumberFormat="1" applyFont="1" applyFill="1" applyBorder="1" applyAlignment="1">
      <alignment horizontal="center"/>
    </xf>
    <xf numFmtId="164" fontId="17" fillId="0" borderId="8" xfId="1" applyNumberFormat="1" applyFont="1" applyFill="1" applyBorder="1" applyAlignment="1">
      <alignment horizontal="center"/>
    </xf>
    <xf numFmtId="0" fontId="18" fillId="0" borderId="0" xfId="0" applyFont="1"/>
    <xf numFmtId="43" fontId="17" fillId="0" borderId="7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9" fillId="0" borderId="0" xfId="0" applyFont="1"/>
    <xf numFmtId="0" fontId="19" fillId="0" borderId="0" xfId="0" applyFont="1" applyAlignment="1">
      <alignment horizontal="centerContinuous"/>
    </xf>
    <xf numFmtId="3" fontId="17" fillId="0" borderId="8" xfId="0" applyNumberFormat="1" applyFont="1" applyFill="1" applyBorder="1" applyAlignment="1">
      <alignment horizontal="right"/>
    </xf>
    <xf numFmtId="3" fontId="17" fillId="0" borderId="0" xfId="0" applyNumberFormat="1" applyFont="1" applyFill="1" applyBorder="1" applyAlignment="1">
      <alignment horizontal="right"/>
    </xf>
    <xf numFmtId="3" fontId="17" fillId="0" borderId="11" xfId="0" applyNumberFormat="1" applyFont="1" applyFill="1" applyBorder="1" applyAlignment="1">
      <alignment horizontal="right"/>
    </xf>
    <xf numFmtId="171" fontId="17" fillId="0" borderId="0" xfId="0" applyNumberFormat="1" applyFont="1"/>
    <xf numFmtId="164" fontId="17" fillId="0" borderId="8" xfId="1" applyNumberFormat="1" applyFont="1" applyFill="1" applyBorder="1" applyAlignment="1">
      <alignment horizontal="right"/>
    </xf>
    <xf numFmtId="164" fontId="17" fillId="0" borderId="0" xfId="1" applyNumberFormat="1" applyFont="1" applyFill="1" applyBorder="1" applyAlignment="1">
      <alignment horizontal="right"/>
    </xf>
    <xf numFmtId="0" fontId="0" fillId="0" borderId="3" xfId="0" applyBorder="1"/>
    <xf numFmtId="0" fontId="1" fillId="0" borderId="0" xfId="0" applyFont="1" applyBorder="1"/>
    <xf numFmtId="10" fontId="17" fillId="0" borderId="3" xfId="5" applyNumberFormat="1" applyFont="1" applyBorder="1" applyAlignment="1">
      <alignment horizontal="right"/>
    </xf>
    <xf numFmtId="0" fontId="19" fillId="0" borderId="3" xfId="0" applyFont="1" applyBorder="1"/>
    <xf numFmtId="166" fontId="17" fillId="0" borderId="7" xfId="1" applyNumberFormat="1" applyFont="1" applyBorder="1" applyAlignment="1">
      <alignment horizontal="center"/>
    </xf>
    <xf numFmtId="166" fontId="17" fillId="0" borderId="6" xfId="1" applyNumberFormat="1" applyFont="1" applyBorder="1" applyAlignment="1">
      <alignment horizontal="center"/>
    </xf>
    <xf numFmtId="164" fontId="0" fillId="0" borderId="5" xfId="5" applyNumberFormat="1" applyFont="1" applyBorder="1"/>
    <xf numFmtId="164" fontId="0" fillId="0" borderId="5" xfId="1" applyNumberFormat="1" applyFont="1" applyBorder="1"/>
    <xf numFmtId="165" fontId="0" fillId="0" borderId="5" xfId="5" applyNumberFormat="1" applyFont="1" applyBorder="1"/>
    <xf numFmtId="9" fontId="0" fillId="0" borderId="5" xfId="5" applyFont="1" applyBorder="1"/>
    <xf numFmtId="10" fontId="0" fillId="0" borderId="5" xfId="5" applyNumberFormat="1" applyFont="1" applyBorder="1"/>
    <xf numFmtId="165" fontId="0" fillId="0" borderId="6" xfId="5" applyNumberFormat="1" applyFont="1" applyBorder="1"/>
    <xf numFmtId="3" fontId="0" fillId="0" borderId="3" xfId="0" applyNumberFormat="1" applyBorder="1"/>
    <xf numFmtId="3" fontId="0" fillId="0" borderId="6" xfId="0" applyNumberFormat="1" applyBorder="1"/>
    <xf numFmtId="164" fontId="3" fillId="0" borderId="2" xfId="0" applyNumberFormat="1" applyFont="1" applyFill="1" applyBorder="1"/>
    <xf numFmtId="164" fontId="3" fillId="0" borderId="3" xfId="0" applyNumberFormat="1" applyFont="1" applyFill="1" applyBorder="1"/>
    <xf numFmtId="164" fontId="3" fillId="0" borderId="7" xfId="0" applyNumberFormat="1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165" fontId="1" fillId="0" borderId="0" xfId="5" applyNumberFormat="1" applyFont="1" applyBorder="1"/>
    <xf numFmtId="165" fontId="0" fillId="0" borderId="7" xfId="5" applyNumberFormat="1" applyFont="1" applyBorder="1"/>
    <xf numFmtId="3" fontId="17" fillId="0" borderId="8" xfId="1" applyNumberFormat="1" applyFont="1" applyFill="1" applyBorder="1" applyAlignment="1">
      <alignment horizontal="right"/>
    </xf>
    <xf numFmtId="3" fontId="17" fillId="0" borderId="0" xfId="1" applyNumberFormat="1" applyFont="1" applyFill="1" applyBorder="1" applyAlignment="1">
      <alignment horizontal="right"/>
    </xf>
    <xf numFmtId="3" fontId="17" fillId="0" borderId="11" xfId="1" applyNumberFormat="1" applyFont="1" applyFill="1" applyBorder="1" applyAlignment="1">
      <alignment horizontal="right"/>
    </xf>
    <xf numFmtId="0" fontId="0" fillId="0" borderId="7" xfId="0" applyFill="1" applyBorder="1"/>
    <xf numFmtId="0" fontId="17" fillId="0" borderId="11" xfId="0" applyFont="1" applyBorder="1" applyAlignment="1">
      <alignment horizontal="right"/>
    </xf>
    <xf numFmtId="0" fontId="17" fillId="0" borderId="8" xfId="0" applyFont="1" applyBorder="1" applyAlignment="1">
      <alignment horizontal="right"/>
    </xf>
    <xf numFmtId="0" fontId="17" fillId="0" borderId="11" xfId="0" applyFont="1" applyFill="1" applyBorder="1" applyAlignment="1">
      <alignment horizontal="center"/>
    </xf>
    <xf numFmtId="164" fontId="19" fillId="0" borderId="4" xfId="0" applyNumberFormat="1" applyFont="1" applyFill="1" applyBorder="1"/>
    <xf numFmtId="3" fontId="0" fillId="0" borderId="7" xfId="0" applyNumberFormat="1" applyBorder="1"/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6" fontId="17" fillId="0" borderId="0" xfId="1" applyNumberFormat="1" applyFont="1" applyBorder="1" applyAlignment="1">
      <alignment horizontal="center"/>
    </xf>
    <xf numFmtId="172" fontId="0" fillId="0" borderId="0" xfId="0" applyNumberFormat="1"/>
    <xf numFmtId="0" fontId="3" fillId="0" borderId="11" xfId="0" applyFont="1" applyFill="1" applyBorder="1" applyAlignment="1">
      <alignment horizontal="left"/>
    </xf>
    <xf numFmtId="0" fontId="3" fillId="0" borderId="9" xfId="0" applyFont="1" applyBorder="1" applyAlignment="1">
      <alignment horizontal="left"/>
    </xf>
    <xf numFmtId="164" fontId="3" fillId="7" borderId="13" xfId="1" applyNumberFormat="1" applyFont="1" applyFill="1" applyBorder="1" applyAlignment="1">
      <alignment horizontal="center" wrapText="1"/>
    </xf>
    <xf numFmtId="169" fontId="3" fillId="7" borderId="13" xfId="1" applyNumberFormat="1" applyFont="1" applyFill="1" applyBorder="1" applyAlignment="1">
      <alignment horizontal="center" wrapText="1"/>
    </xf>
    <xf numFmtId="43" fontId="20" fillId="0" borderId="7" xfId="1" applyFont="1" applyFill="1" applyBorder="1" applyAlignment="1">
      <alignment horizontal="center"/>
    </xf>
    <xf numFmtId="43" fontId="20" fillId="0" borderId="0" xfId="1" applyFont="1" applyFill="1" applyBorder="1" applyAlignment="1">
      <alignment horizontal="center"/>
    </xf>
    <xf numFmtId="43" fontId="20" fillId="0" borderId="8" xfId="1" applyFont="1" applyFill="1" applyBorder="1" applyAlignment="1">
      <alignment horizontal="center"/>
    </xf>
    <xf numFmtId="43" fontId="3" fillId="0" borderId="0" xfId="1" applyFont="1" applyFill="1" applyBorder="1" applyAlignment="1">
      <alignment horizontal="left"/>
    </xf>
    <xf numFmtId="43" fontId="3" fillId="0" borderId="8" xfId="1" applyFont="1" applyFill="1" applyBorder="1" applyAlignment="1">
      <alignment horizontal="left"/>
    </xf>
    <xf numFmtId="43" fontId="3" fillId="0" borderId="7" xfId="1" applyFont="1" applyFill="1" applyBorder="1" applyAlignment="1">
      <alignment horizontal="left"/>
    </xf>
    <xf numFmtId="169" fontId="3" fillId="0" borderId="17" xfId="0" applyNumberFormat="1" applyFont="1" applyFill="1" applyBorder="1"/>
    <xf numFmtId="169" fontId="3" fillId="0" borderId="0" xfId="0" applyNumberFormat="1" applyFont="1" applyFill="1"/>
    <xf numFmtId="169" fontId="3" fillId="0" borderId="2" xfId="0" applyNumberFormat="1" applyFont="1" applyFill="1" applyBorder="1"/>
    <xf numFmtId="169" fontId="3" fillId="0" borderId="5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169" fontId="3" fillId="0" borderId="0" xfId="0" applyNumberFormat="1" applyFont="1" applyFill="1" applyBorder="1" applyAlignment="1">
      <alignment horizontal="right"/>
    </xf>
    <xf numFmtId="169" fontId="3" fillId="0" borderId="0" xfId="1" applyNumberFormat="1" applyFont="1" applyFill="1" applyBorder="1"/>
    <xf numFmtId="10" fontId="17" fillId="0" borderId="7" xfId="5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0" fontId="17" fillId="0" borderId="6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3" fontId="17" fillId="0" borderId="11" xfId="0" applyNumberFormat="1" applyFont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43" fontId="1" fillId="0" borderId="0" xfId="1" applyNumberFormat="1" applyFont="1" applyFill="1" applyBorder="1" applyAlignment="1">
      <alignment horizontal="center"/>
    </xf>
    <xf numFmtId="3" fontId="3" fillId="0" borderId="4" xfId="0" applyNumberFormat="1" applyFont="1" applyBorder="1" applyAlignment="1">
      <alignment horizontal="right"/>
    </xf>
    <xf numFmtId="0" fontId="1" fillId="0" borderId="8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164" fontId="13" fillId="0" borderId="1" xfId="1" applyNumberFormat="1" applyFont="1" applyBorder="1" applyAlignment="1">
      <alignment horizontal="center"/>
    </xf>
    <xf numFmtId="164" fontId="13" fillId="0" borderId="2" xfId="1" applyNumberFormat="1" applyFont="1" applyBorder="1" applyAlignment="1">
      <alignment horizontal="center"/>
    </xf>
    <xf numFmtId="164" fontId="13" fillId="0" borderId="3" xfId="1" applyNumberFormat="1" applyFont="1" applyBorder="1" applyAlignment="1">
      <alignment horizontal="center"/>
    </xf>
    <xf numFmtId="164" fontId="13" fillId="0" borderId="8" xfId="1" applyNumberFormat="1" applyFont="1" applyBorder="1" applyAlignment="1">
      <alignment horizontal="center"/>
    </xf>
    <xf numFmtId="164" fontId="13" fillId="0" borderId="7" xfId="1" applyNumberFormat="1" applyFont="1" applyBorder="1" applyAlignment="1">
      <alignment horizontal="center"/>
    </xf>
    <xf numFmtId="164" fontId="0" fillId="0" borderId="8" xfId="1" applyNumberFormat="1" applyFont="1" applyBorder="1"/>
    <xf numFmtId="164" fontId="0" fillId="0" borderId="7" xfId="1" applyNumberFormat="1" applyFont="1" applyBorder="1"/>
    <xf numFmtId="164" fontId="13" fillId="0" borderId="8" xfId="1" applyNumberFormat="1" applyFont="1" applyBorder="1"/>
    <xf numFmtId="164" fontId="13" fillId="0" borderId="7" xfId="1" applyNumberFormat="1" applyFont="1" applyBorder="1"/>
    <xf numFmtId="164" fontId="0" fillId="0" borderId="4" xfId="1" applyNumberFormat="1" applyFont="1" applyBorder="1"/>
    <xf numFmtId="164" fontId="0" fillId="0" borderId="6" xfId="1" applyNumberFormat="1" applyFont="1" applyBorder="1"/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164" fontId="15" fillId="0" borderId="7" xfId="1" applyNumberFormat="1" applyFont="1" applyBorder="1"/>
    <xf numFmtId="3" fontId="0" fillId="0" borderId="0" xfId="0" applyNumberFormat="1" applyBorder="1"/>
    <xf numFmtId="3" fontId="13" fillId="0" borderId="0" xfId="0" applyNumberFormat="1" applyFont="1" applyBorder="1"/>
    <xf numFmtId="3" fontId="0" fillId="0" borderId="5" xfId="0" applyNumberFormat="1" applyBorder="1"/>
    <xf numFmtId="0" fontId="1" fillId="0" borderId="0" xfId="0" applyFont="1" applyFill="1"/>
    <xf numFmtId="43" fontId="3" fillId="0" borderId="0" xfId="0" applyNumberFormat="1" applyFont="1" applyFill="1"/>
    <xf numFmtId="43" fontId="11" fillId="0" borderId="0" xfId="1" applyFont="1"/>
    <xf numFmtId="43" fontId="0" fillId="0" borderId="0" xfId="1" applyNumberFormat="1" applyFont="1"/>
    <xf numFmtId="164" fontId="1" fillId="0" borderId="7" xfId="1" applyNumberFormat="1" applyFont="1" applyBorder="1"/>
    <xf numFmtId="164" fontId="1" fillId="0" borderId="6" xfId="1" applyNumberFormat="1" applyFon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11" fillId="0" borderId="0" xfId="1" applyNumberFormat="1" applyFont="1"/>
    <xf numFmtId="0" fontId="3" fillId="0" borderId="0" xfId="0" quotePrefix="1" applyFont="1" applyFill="1" applyBorder="1" applyAlignment="1">
      <alignment horizontal="left"/>
    </xf>
    <xf numFmtId="0" fontId="3" fillId="0" borderId="8" xfId="0" quotePrefix="1" applyFont="1" applyFill="1" applyBorder="1" applyAlignment="1">
      <alignment horizontal="left"/>
    </xf>
    <xf numFmtId="0" fontId="3" fillId="0" borderId="7" xfId="0" quotePrefix="1" applyFont="1" applyFill="1" applyBorder="1" applyAlignment="1">
      <alignment horizontal="left"/>
    </xf>
    <xf numFmtId="10" fontId="3" fillId="0" borderId="0" xfId="0" applyNumberFormat="1" applyFont="1" applyFill="1" applyBorder="1" applyAlignment="1">
      <alignment horizontal="left"/>
    </xf>
    <xf numFmtId="10" fontId="3" fillId="0" borderId="8" xfId="0" applyNumberFormat="1" applyFont="1" applyFill="1" applyBorder="1" applyAlignment="1">
      <alignment horizontal="left"/>
    </xf>
    <xf numFmtId="10" fontId="3" fillId="0" borderId="7" xfId="0" applyNumberFormat="1" applyFont="1" applyFill="1" applyBorder="1" applyAlignment="1">
      <alignment horizontal="left"/>
    </xf>
    <xf numFmtId="43" fontId="3" fillId="0" borderId="5" xfId="0" applyNumberFormat="1" applyFont="1" applyFill="1" applyBorder="1" applyAlignment="1">
      <alignment horizontal="left"/>
    </xf>
    <xf numFmtId="43" fontId="3" fillId="0" borderId="4" xfId="0" applyNumberFormat="1" applyFont="1" applyFill="1" applyBorder="1" applyAlignment="1">
      <alignment horizontal="left"/>
    </xf>
    <xf numFmtId="43" fontId="3" fillId="0" borderId="6" xfId="0" applyNumberFormat="1" applyFont="1" applyFill="1" applyBorder="1" applyAlignment="1">
      <alignment horizontal="left"/>
    </xf>
    <xf numFmtId="164" fontId="17" fillId="0" borderId="7" xfId="1" applyNumberFormat="1" applyFont="1" applyFill="1" applyBorder="1" applyAlignment="1">
      <alignment horizontal="center"/>
    </xf>
    <xf numFmtId="43" fontId="3" fillId="0" borderId="0" xfId="0" quotePrefix="1" applyNumberFormat="1" applyFont="1" applyFill="1" applyBorder="1" applyAlignment="1">
      <alignment horizontal="left"/>
    </xf>
    <xf numFmtId="169" fontId="3" fillId="7" borderId="22" xfId="1" applyNumberFormat="1" applyFont="1" applyFill="1" applyBorder="1" applyAlignment="1"/>
    <xf numFmtId="169" fontId="3" fillId="7" borderId="24" xfId="1" applyNumberFormat="1" applyFont="1" applyFill="1" applyBorder="1" applyAlignment="1"/>
    <xf numFmtId="169" fontId="3" fillId="7" borderId="26" xfId="1" applyNumberFormat="1" applyFont="1" applyFill="1" applyBorder="1" applyAlignment="1"/>
    <xf numFmtId="41" fontId="0" fillId="0" borderId="0" xfId="0" applyNumberFormat="1"/>
    <xf numFmtId="43" fontId="20" fillId="0" borderId="0" xfId="1" applyFont="1" applyBorder="1" applyAlignment="1">
      <alignment horizontal="center"/>
    </xf>
    <xf numFmtId="43" fontId="20" fillId="0" borderId="8" xfId="1" applyFont="1" applyBorder="1" applyAlignment="1">
      <alignment horizontal="center"/>
    </xf>
    <xf numFmtId="43" fontId="20" fillId="0" borderId="7" xfId="1" applyFont="1" applyBorder="1" applyAlignment="1">
      <alignment horizontal="center"/>
    </xf>
    <xf numFmtId="41" fontId="11" fillId="0" borderId="0" xfId="0" applyNumberFormat="1" applyFont="1" applyAlignment="1">
      <alignment horizontal="center"/>
    </xf>
    <xf numFmtId="41" fontId="11" fillId="0" borderId="0" xfId="0" applyNumberFormat="1" applyFont="1" applyAlignment="1">
      <alignment horizontal="left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9" fontId="21" fillId="0" borderId="0" xfId="5" applyNumberFormat="1" applyFont="1" applyFill="1" applyBorder="1" applyAlignment="1">
      <alignment horizontal="right"/>
    </xf>
    <xf numFmtId="167" fontId="17" fillId="0" borderId="3" xfId="5" applyNumberFormat="1" applyFont="1" applyFill="1" applyBorder="1" applyAlignment="1">
      <alignment horizontal="right"/>
    </xf>
    <xf numFmtId="9" fontId="17" fillId="0" borderId="6" xfId="5" applyFont="1" applyFill="1" applyBorder="1" applyAlignment="1">
      <alignment horizontal="right"/>
    </xf>
    <xf numFmtId="164" fontId="17" fillId="0" borderId="0" xfId="1" applyNumberFormat="1" applyFont="1" applyFill="1" applyBorder="1" applyAlignme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0" fontId="17" fillId="0" borderId="7" xfId="5" applyNumberFormat="1" applyFont="1" applyBorder="1" applyAlignment="1">
      <alignment horizontal="right"/>
    </xf>
    <xf numFmtId="9" fontId="0" fillId="0" borderId="0" xfId="0" applyNumberFormat="1" applyBorder="1"/>
    <xf numFmtId="9" fontId="0" fillId="0" borderId="0" xfId="5" applyFon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3" fontId="9" fillId="0" borderId="16" xfId="1" applyNumberFormat="1" applyFont="1" applyFill="1" applyBorder="1" applyAlignment="1">
      <alignment horizontal="right"/>
    </xf>
    <xf numFmtId="3" fontId="9" fillId="0" borderId="17" xfId="1" applyNumberFormat="1" applyFont="1" applyFill="1" applyBorder="1" applyAlignment="1">
      <alignment horizontal="right"/>
    </xf>
    <xf numFmtId="3" fontId="9" fillId="0" borderId="21" xfId="1" applyNumberFormat="1" applyFont="1" applyFill="1" applyBorder="1" applyAlignment="1">
      <alignment horizontal="right"/>
    </xf>
    <xf numFmtId="3" fontId="9" fillId="0" borderId="18" xfId="1" applyNumberFormat="1" applyFont="1" applyFill="1" applyBorder="1" applyAlignment="1">
      <alignment horizontal="right"/>
    </xf>
    <xf numFmtId="3" fontId="0" fillId="0" borderId="11" xfId="0" applyNumberFormat="1" applyBorder="1"/>
    <xf numFmtId="3" fontId="0" fillId="0" borderId="11" xfId="0" applyNumberFormat="1" applyFill="1" applyBorder="1"/>
    <xf numFmtId="3" fontId="0" fillId="0" borderId="21" xfId="0" applyNumberFormat="1" applyBorder="1"/>
    <xf numFmtId="3" fontId="3" fillId="0" borderId="21" xfId="0" applyNumberFormat="1" applyFont="1" applyBorder="1"/>
    <xf numFmtId="41" fontId="0" fillId="0" borderId="0" xfId="0" applyNumberFormat="1" applyBorder="1"/>
    <xf numFmtId="0" fontId="3" fillId="0" borderId="0" xfId="0" applyFont="1" applyFill="1" applyBorder="1"/>
    <xf numFmtId="14" fontId="3" fillId="0" borderId="0" xfId="0" applyNumberFormat="1" applyFont="1" applyFill="1" applyAlignment="1">
      <alignment horizontal="center"/>
    </xf>
    <xf numFmtId="165" fontId="3" fillId="0" borderId="0" xfId="5" applyNumberFormat="1" applyFont="1" applyFill="1"/>
    <xf numFmtId="43" fontId="3" fillId="0" borderId="0" xfId="1" applyFont="1" applyFill="1"/>
    <xf numFmtId="40" fontId="3" fillId="0" borderId="0" xfId="0" applyNumberFormat="1" applyFont="1" applyFill="1"/>
    <xf numFmtId="9" fontId="3" fillId="0" borderId="0" xfId="5" applyFont="1" applyFill="1"/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4" fontId="13" fillId="0" borderId="0" xfId="1" applyNumberFormat="1" applyFont="1" applyFill="1" applyBorder="1" applyAlignment="1">
      <alignment horizontal="left"/>
    </xf>
    <xf numFmtId="164" fontId="15" fillId="0" borderId="0" xfId="0" applyNumberFormat="1" applyFont="1"/>
    <xf numFmtId="0" fontId="3" fillId="0" borderId="21" xfId="0" applyFont="1" applyBorder="1"/>
    <xf numFmtId="0" fontId="0" fillId="0" borderId="16" xfId="0" applyBorder="1"/>
    <xf numFmtId="0" fontId="0" fillId="0" borderId="17" xfId="0" applyBorder="1"/>
    <xf numFmtId="43" fontId="3" fillId="0" borderId="18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6" fontId="3" fillId="2" borderId="2" xfId="0" applyNumberFormat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6" fontId="3" fillId="2" borderId="4" xfId="0" applyNumberFormat="1" applyFont="1" applyFill="1" applyBorder="1" applyAlignment="1">
      <alignment horizontal="center"/>
    </xf>
    <xf numFmtId="6" fontId="3" fillId="2" borderId="7" xfId="0" applyNumberFormat="1" applyFont="1" applyFill="1" applyBorder="1" applyAlignment="1">
      <alignment horizontal="center"/>
    </xf>
    <xf numFmtId="6" fontId="3" fillId="2" borderId="6" xfId="0" applyNumberFormat="1" applyFont="1" applyFill="1" applyBorder="1" applyAlignment="1">
      <alignment horizontal="center"/>
    </xf>
    <xf numFmtId="6" fontId="3" fillId="2" borderId="0" xfId="0" applyNumberFormat="1" applyFont="1" applyFill="1" applyBorder="1" applyAlignment="1">
      <alignment horizontal="center"/>
    </xf>
    <xf numFmtId="6" fontId="3" fillId="2" borderId="16" xfId="0" applyNumberFormat="1" applyFont="1" applyFill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43" fontId="17" fillId="0" borderId="0" xfId="1" applyFont="1" applyBorder="1" applyAlignment="1">
      <alignment horizontal="center"/>
    </xf>
    <xf numFmtId="6" fontId="2" fillId="0" borderId="0" xfId="0" applyNumberFormat="1" applyFont="1" applyBorder="1" applyAlignment="1"/>
    <xf numFmtId="6" fontId="2" fillId="0" borderId="0" xfId="0" applyNumberFormat="1" applyFont="1" applyBorder="1" applyAlignment="1">
      <alignment horizontal="center"/>
    </xf>
    <xf numFmtId="164" fontId="3" fillId="0" borderId="11" xfId="1" applyNumberFormat="1" applyFont="1" applyBorder="1"/>
    <xf numFmtId="164" fontId="3" fillId="0" borderId="7" xfId="1" applyNumberFormat="1" applyFont="1" applyBorder="1"/>
    <xf numFmtId="10" fontId="3" fillId="0" borderId="9" xfId="5" applyNumberFormat="1" applyFont="1" applyBorder="1"/>
    <xf numFmtId="10" fontId="3" fillId="0" borderId="6" xfId="5" applyNumberFormat="1" applyFont="1" applyBorder="1"/>
    <xf numFmtId="6" fontId="3" fillId="0" borderId="0" xfId="0" applyNumberFormat="1" applyFont="1" applyFill="1" applyBorder="1" applyAlignment="1"/>
    <xf numFmtId="164" fontId="3" fillId="0" borderId="1" xfId="1" applyNumberFormat="1" applyFont="1" applyBorder="1"/>
    <xf numFmtId="164" fontId="3" fillId="0" borderId="3" xfId="1" applyNumberFormat="1" applyFont="1" applyBorder="1"/>
    <xf numFmtId="164" fontId="3" fillId="0" borderId="10" xfId="1" applyNumberFormat="1" applyFont="1" applyBorder="1"/>
    <xf numFmtId="10" fontId="3" fillId="0" borderId="4" xfId="5" applyNumberFormat="1" applyFont="1" applyBorder="1"/>
    <xf numFmtId="164" fontId="3" fillId="0" borderId="2" xfId="1" applyNumberFormat="1" applyFont="1" applyBorder="1"/>
    <xf numFmtId="164" fontId="3" fillId="0" borderId="3" xfId="1" applyNumberFormat="1" applyFont="1" applyFill="1" applyBorder="1"/>
    <xf numFmtId="164" fontId="3" fillId="0" borderId="3" xfId="0" applyNumberFormat="1" applyFont="1" applyBorder="1"/>
    <xf numFmtId="10" fontId="3" fillId="0" borderId="5" xfId="5" applyNumberFormat="1" applyFont="1" applyBorder="1"/>
    <xf numFmtId="10" fontId="3" fillId="0" borderId="0" xfId="5" applyNumberFormat="1" applyFont="1" applyBorder="1"/>
    <xf numFmtId="6" fontId="3" fillId="2" borderId="7" xfId="0" applyNumberFormat="1" applyFont="1" applyFill="1" applyBorder="1" applyAlignment="1"/>
    <xf numFmtId="164" fontId="3" fillId="0" borderId="1" xfId="0" applyNumberFormat="1" applyFont="1" applyBorder="1"/>
    <xf numFmtId="0" fontId="3" fillId="0" borderId="9" xfId="0" applyFont="1" applyBorder="1"/>
    <xf numFmtId="6" fontId="3" fillId="2" borderId="3" xfId="0" applyNumberFormat="1" applyFont="1" applyFill="1" applyBorder="1" applyAlignment="1">
      <alignment horizontal="right"/>
    </xf>
    <xf numFmtId="6" fontId="3" fillId="2" borderId="11" xfId="0" applyNumberFormat="1" applyFont="1" applyFill="1" applyBorder="1" applyAlignment="1"/>
    <xf numFmtId="164" fontId="3" fillId="0" borderId="7" xfId="0" applyNumberFormat="1" applyFont="1" applyBorder="1"/>
    <xf numFmtId="10" fontId="3" fillId="0" borderId="0" xfId="5" applyNumberFormat="1" applyFont="1" applyFill="1" applyBorder="1" applyAlignment="1">
      <alignment horizontal="right"/>
    </xf>
    <xf numFmtId="10" fontId="3" fillId="0" borderId="8" xfId="5" applyNumberFormat="1" applyFont="1" applyFill="1" applyBorder="1" applyAlignment="1">
      <alignment horizontal="right"/>
    </xf>
    <xf numFmtId="10" fontId="3" fillId="0" borderId="7" xfId="5" applyNumberFormat="1" applyFont="1" applyFill="1" applyBorder="1" applyAlignment="1">
      <alignment horizontal="right"/>
    </xf>
    <xf numFmtId="10" fontId="3" fillId="0" borderId="11" xfId="5" applyNumberFormat="1" applyFont="1" applyFill="1" applyBorder="1" applyAlignment="1">
      <alignment horizontal="right"/>
    </xf>
    <xf numFmtId="168" fontId="3" fillId="0" borderId="7" xfId="5" applyNumberFormat="1" applyFont="1" applyFill="1" applyBorder="1" applyAlignment="1">
      <alignment horizontal="right"/>
    </xf>
    <xf numFmtId="173" fontId="3" fillId="0" borderId="7" xfId="5" applyNumberFormat="1" applyFont="1" applyFill="1" applyBorder="1" applyAlignment="1">
      <alignment horizontal="right"/>
    </xf>
    <xf numFmtId="10" fontId="3" fillId="0" borderId="7" xfId="0" applyNumberFormat="1" applyFont="1" applyBorder="1" applyAlignment="1">
      <alignment horizontal="right"/>
    </xf>
    <xf numFmtId="10" fontId="3" fillId="0" borderId="0" xfId="5" applyNumberFormat="1" applyFont="1" applyFill="1" applyBorder="1" applyAlignment="1">
      <alignment horizontal="center"/>
    </xf>
    <xf numFmtId="173" fontId="3" fillId="0" borderId="0" xfId="5" applyNumberFormat="1" applyFont="1" applyFill="1" applyBorder="1" applyAlignment="1">
      <alignment horizontal="center"/>
    </xf>
    <xf numFmtId="10" fontId="3" fillId="0" borderId="8" xfId="5" applyNumberFormat="1" applyFont="1" applyFill="1" applyBorder="1" applyAlignment="1">
      <alignment horizontal="center"/>
    </xf>
    <xf numFmtId="10" fontId="3" fillId="0" borderId="7" xfId="5" applyNumberFormat="1" applyFont="1" applyFill="1" applyBorder="1" applyAlignment="1">
      <alignment horizontal="center"/>
    </xf>
    <xf numFmtId="10" fontId="3" fillId="0" borderId="11" xfId="5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73" fontId="3" fillId="0" borderId="11" xfId="5" applyNumberFormat="1" applyFont="1" applyFill="1" applyBorder="1" applyAlignment="1">
      <alignment horizontal="right"/>
    </xf>
    <xf numFmtId="173" fontId="3" fillId="0" borderId="7" xfId="0" applyNumberFormat="1" applyFont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23" fillId="0" borderId="0" xfId="0" applyFont="1" applyFill="1" applyAlignment="1">
      <alignment horizontal="center"/>
    </xf>
    <xf numFmtId="164" fontId="3" fillId="0" borderId="7" xfId="0" applyNumberFormat="1" applyFont="1" applyBorder="1" applyAlignment="1">
      <alignment horizontal="right"/>
    </xf>
    <xf numFmtId="0" fontId="0" fillId="0" borderId="7" xfId="0" applyBorder="1" applyAlignment="1">
      <alignment horizontal="right"/>
    </xf>
    <xf numFmtId="10" fontId="21" fillId="0" borderId="8" xfId="0" applyNumberFormat="1" applyFont="1" applyFill="1" applyBorder="1" applyAlignment="1">
      <alignment horizontal="left"/>
    </xf>
    <xf numFmtId="164" fontId="0" fillId="0" borderId="7" xfId="0" applyNumberFormat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43" fontId="3" fillId="0" borderId="8" xfId="1" applyFont="1" applyFill="1" applyBorder="1" applyAlignment="1">
      <alignment horizontal="right"/>
    </xf>
    <xf numFmtId="43" fontId="3" fillId="0" borderId="7" xfId="1" applyFont="1" applyFill="1" applyBorder="1" applyAlignment="1">
      <alignment horizontal="right"/>
    </xf>
    <xf numFmtId="43" fontId="3" fillId="0" borderId="11" xfId="1" applyFont="1" applyFill="1" applyBorder="1" applyAlignment="1">
      <alignment horizontal="right"/>
    </xf>
    <xf numFmtId="43" fontId="3" fillId="0" borderId="7" xfId="1" applyNumberFormat="1" applyFont="1" applyFill="1" applyBorder="1" applyAlignment="1">
      <alignment horizontal="right"/>
    </xf>
    <xf numFmtId="43" fontId="3" fillId="0" borderId="11" xfId="1" applyNumberFormat="1" applyFont="1" applyFill="1" applyBorder="1" applyAlignment="1">
      <alignment horizontal="center"/>
    </xf>
    <xf numFmtId="43" fontId="3" fillId="0" borderId="11" xfId="1" applyNumberFormat="1" applyFont="1" applyFill="1" applyBorder="1" applyAlignment="1">
      <alignment horizontal="right"/>
    </xf>
    <xf numFmtId="43" fontId="3" fillId="0" borderId="0" xfId="1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164" fontId="3" fillId="0" borderId="8" xfId="0" applyNumberFormat="1" applyFont="1" applyFill="1" applyBorder="1" applyAlignment="1">
      <alignment horizontal="right"/>
    </xf>
    <xf numFmtId="164" fontId="3" fillId="0" borderId="7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3" fillId="0" borderId="11" xfId="0" applyNumberFormat="1" applyFont="1" applyFill="1" applyBorder="1" applyAlignment="1">
      <alignment horizontal="right"/>
    </xf>
    <xf numFmtId="43" fontId="3" fillId="0" borderId="8" xfId="0" applyNumberFormat="1" applyFont="1" applyBorder="1"/>
    <xf numFmtId="43" fontId="3" fillId="0" borderId="7" xfId="0" applyNumberFormat="1" applyFont="1" applyBorder="1"/>
    <xf numFmtId="43" fontId="3" fillId="0" borderId="8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3" fontId="3" fillId="0" borderId="11" xfId="0" applyNumberFormat="1" applyFont="1" applyBorder="1"/>
    <xf numFmtId="43" fontId="3" fillId="0" borderId="0" xfId="0" applyNumberFormat="1" applyFont="1" applyBorder="1"/>
    <xf numFmtId="164" fontId="3" fillId="0" borderId="4" xfId="0" applyNumberFormat="1" applyFont="1" applyBorder="1"/>
    <xf numFmtId="164" fontId="3" fillId="0" borderId="6" xfId="0" applyNumberFormat="1" applyFont="1" applyBorder="1"/>
    <xf numFmtId="164" fontId="3" fillId="0" borderId="9" xfId="0" applyNumberFormat="1" applyFont="1" applyBorder="1"/>
    <xf numFmtId="0" fontId="3" fillId="0" borderId="4" xfId="0" applyFont="1" applyFill="1" applyBorder="1"/>
    <xf numFmtId="43" fontId="3" fillId="0" borderId="5" xfId="1" applyNumberFormat="1" applyFont="1" applyFill="1" applyBorder="1" applyAlignment="1">
      <alignment horizontal="center"/>
    </xf>
    <xf numFmtId="168" fontId="3" fillId="0" borderId="9" xfId="5" applyNumberFormat="1" applyFont="1" applyBorder="1"/>
    <xf numFmtId="173" fontId="3" fillId="0" borderId="9" xfId="5" applyNumberFormat="1" applyFont="1" applyBorder="1"/>
    <xf numFmtId="168" fontId="3" fillId="0" borderId="6" xfId="5" applyNumberFormat="1" applyFont="1" applyBorder="1"/>
    <xf numFmtId="168" fontId="3" fillId="0" borderId="4" xfId="5" applyNumberFormat="1" applyFont="1" applyBorder="1"/>
    <xf numFmtId="173" fontId="3" fillId="0" borderId="4" xfId="5" applyNumberFormat="1" applyFont="1" applyBorder="1"/>
    <xf numFmtId="173" fontId="3" fillId="0" borderId="0" xfId="5" applyNumberFormat="1" applyFont="1" applyFill="1" applyBorder="1" applyAlignment="1">
      <alignment horizontal="right"/>
    </xf>
    <xf numFmtId="168" fontId="3" fillId="0" borderId="11" xfId="5" applyNumberFormat="1" applyFont="1" applyFill="1" applyBorder="1" applyAlignment="1">
      <alignment horizontal="right"/>
    </xf>
    <xf numFmtId="168" fontId="3" fillId="0" borderId="8" xfId="5" applyNumberFormat="1" applyFont="1" applyFill="1" applyBorder="1" applyAlignment="1">
      <alignment horizontal="right"/>
    </xf>
    <xf numFmtId="173" fontId="3" fillId="0" borderId="8" xfId="5" applyNumberFormat="1" applyFont="1" applyFill="1" applyBorder="1" applyAlignment="1">
      <alignment horizontal="right"/>
    </xf>
    <xf numFmtId="0" fontId="3" fillId="0" borderId="7" xfId="1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43" fontId="3" fillId="0" borderId="18" xfId="0" applyNumberFormat="1" applyFont="1" applyFill="1" applyBorder="1"/>
    <xf numFmtId="0" fontId="0" fillId="8" borderId="1" xfId="0" applyFill="1" applyBorder="1"/>
    <xf numFmtId="6" fontId="3" fillId="8" borderId="10" xfId="0" applyNumberFormat="1" applyFont="1" applyFill="1" applyBorder="1" applyAlignment="1">
      <alignment horizontal="center"/>
    </xf>
    <xf numFmtId="0" fontId="0" fillId="8" borderId="8" xfId="0" applyFill="1" applyBorder="1"/>
    <xf numFmtId="6" fontId="3" fillId="8" borderId="9" xfId="0" applyNumberFormat="1" applyFont="1" applyFill="1" applyBorder="1" applyAlignment="1">
      <alignment horizontal="center"/>
    </xf>
    <xf numFmtId="6" fontId="3" fillId="8" borderId="8" xfId="0" applyNumberFormat="1" applyFont="1" applyFill="1" applyBorder="1" applyAlignment="1">
      <alignment horizontal="right"/>
    </xf>
    <xf numFmtId="0" fontId="3" fillId="8" borderId="4" xfId="0" applyFont="1" applyFill="1" applyBorder="1" applyAlignment="1">
      <alignment horizontal="right"/>
    </xf>
    <xf numFmtId="10" fontId="3" fillId="8" borderId="21" xfId="5" applyNumberFormat="1" applyFont="1" applyFill="1" applyBorder="1"/>
    <xf numFmtId="164" fontId="3" fillId="8" borderId="10" xfId="1" applyNumberFormat="1" applyFont="1" applyFill="1" applyBorder="1"/>
    <xf numFmtId="164" fontId="3" fillId="8" borderId="11" xfId="1" applyNumberFormat="1" applyFont="1" applyFill="1" applyBorder="1"/>
    <xf numFmtId="0" fontId="3" fillId="0" borderId="1" xfId="0" applyFont="1" applyFill="1" applyBorder="1"/>
    <xf numFmtId="43" fontId="3" fillId="0" borderId="2" xfId="0" applyNumberFormat="1" applyFont="1" applyFill="1" applyBorder="1"/>
    <xf numFmtId="0" fontId="3" fillId="0" borderId="3" xfId="0" applyFont="1" applyFill="1" applyBorder="1"/>
    <xf numFmtId="169" fontId="3" fillId="0" borderId="0" xfId="0" applyNumberFormat="1" applyFont="1"/>
    <xf numFmtId="43" fontId="17" fillId="0" borderId="7" xfId="1" applyFont="1" applyBorder="1" applyAlignment="1">
      <alignment horizontal="center"/>
    </xf>
    <xf numFmtId="169" fontId="21" fillId="0" borderId="6" xfId="5" applyNumberFormat="1" applyFont="1" applyFill="1" applyBorder="1" applyAlignment="1">
      <alignment horizontal="right"/>
    </xf>
    <xf numFmtId="0" fontId="3" fillId="0" borderId="8" xfId="4" applyFont="1" applyFill="1" applyBorder="1" applyAlignment="1">
      <alignment horizontal="left" indent="1"/>
    </xf>
    <xf numFmtId="43" fontId="17" fillId="0" borderId="8" xfId="1" applyNumberFormat="1" applyFont="1" applyFill="1" applyBorder="1" applyAlignment="1"/>
    <xf numFmtId="43" fontId="17" fillId="0" borderId="0" xfId="1" applyNumberFormat="1" applyFont="1" applyFill="1" applyBorder="1" applyAlignment="1"/>
    <xf numFmtId="43" fontId="17" fillId="0" borderId="7" xfId="1" applyNumberFormat="1" applyFont="1" applyFill="1" applyBorder="1" applyAlignment="1"/>
    <xf numFmtId="43" fontId="17" fillId="0" borderId="8" xfId="1" applyNumberFormat="1" applyFont="1" applyBorder="1" applyAlignment="1">
      <alignment horizontal="right"/>
    </xf>
    <xf numFmtId="43" fontId="17" fillId="0" borderId="0" xfId="1" applyNumberFormat="1" applyFont="1" applyBorder="1" applyAlignment="1">
      <alignment horizontal="right"/>
    </xf>
    <xf numFmtId="43" fontId="17" fillId="0" borderId="8" xfId="1" applyFont="1" applyBorder="1" applyAlignment="1">
      <alignment horizontal="center"/>
    </xf>
    <xf numFmtId="43" fontId="17" fillId="0" borderId="7" xfId="1" applyNumberFormat="1" applyFont="1" applyBorder="1" applyAlignment="1">
      <alignment horizontal="right"/>
    </xf>
    <xf numFmtId="43" fontId="17" fillId="0" borderId="8" xfId="1" applyFont="1" applyFill="1" applyBorder="1" applyAlignment="1">
      <alignment horizontal="center"/>
    </xf>
    <xf numFmtId="43" fontId="17" fillId="0" borderId="0" xfId="1" applyFont="1" applyFill="1" applyBorder="1" applyAlignment="1">
      <alignment horizontal="center"/>
    </xf>
    <xf numFmtId="3" fontId="17" fillId="0" borderId="7" xfId="5" applyNumberFormat="1" applyFont="1" applyFill="1" applyBorder="1" applyAlignment="1">
      <alignment horizontal="right"/>
    </xf>
    <xf numFmtId="0" fontId="3" fillId="0" borderId="11" xfId="4" applyFont="1" applyFill="1" applyBorder="1" applyAlignment="1">
      <alignment horizontal="left" indent="1"/>
    </xf>
    <xf numFmtId="0" fontId="3" fillId="0" borderId="0" xfId="0" applyFont="1" applyAlignment="1">
      <alignment horizontal="center"/>
    </xf>
    <xf numFmtId="169" fontId="3" fillId="7" borderId="22" xfId="1" applyNumberFormat="1" applyFont="1" applyFill="1" applyBorder="1" applyAlignment="1">
      <alignment horizontal="center"/>
    </xf>
    <xf numFmtId="169" fontId="3" fillId="7" borderId="24" xfId="1" applyNumberFormat="1" applyFont="1" applyFill="1" applyBorder="1" applyAlignment="1">
      <alignment horizontal="center"/>
    </xf>
    <xf numFmtId="169" fontId="3" fillId="7" borderId="26" xfId="1" applyNumberFormat="1" applyFont="1" applyFill="1" applyBorder="1" applyAlignment="1">
      <alignment horizontal="center"/>
    </xf>
    <xf numFmtId="164" fontId="3" fillId="5" borderId="23" xfId="1" applyNumberFormat="1" applyFont="1" applyFill="1" applyBorder="1" applyAlignment="1">
      <alignment horizontal="center"/>
    </xf>
    <xf numFmtId="164" fontId="3" fillId="5" borderId="25" xfId="1" applyNumberFormat="1" applyFont="1" applyFill="1" applyBorder="1" applyAlignment="1">
      <alignment horizontal="center"/>
    </xf>
    <xf numFmtId="164" fontId="3" fillId="5" borderId="13" xfId="1" applyNumberFormat="1" applyFont="1" applyFill="1" applyBorder="1" applyAlignment="1">
      <alignment horizontal="center"/>
    </xf>
    <xf numFmtId="164" fontId="3" fillId="7" borderId="27" xfId="1" applyNumberFormat="1" applyFont="1" applyFill="1" applyBorder="1" applyAlignment="1">
      <alignment horizontal="center"/>
    </xf>
    <xf numFmtId="164" fontId="3" fillId="7" borderId="12" xfId="1" applyNumberFormat="1" applyFont="1" applyFill="1" applyBorder="1" applyAlignment="1">
      <alignment horizontal="center"/>
    </xf>
    <xf numFmtId="164" fontId="3" fillId="7" borderId="14" xfId="1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2" borderId="16" xfId="0" quotePrefix="1" applyFont="1" applyFill="1" applyBorder="1" applyAlignment="1">
      <alignment horizontal="center"/>
    </xf>
    <xf numFmtId="0" fontId="3" fillId="2" borderId="17" xfId="0" quotePrefix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8" xfId="0" quotePrefix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quotePrefix="1" applyFont="1" applyFill="1" applyBorder="1" applyAlignment="1">
      <alignment horizontal="center"/>
    </xf>
    <xf numFmtId="0" fontId="3" fillId="2" borderId="2" xfId="0" quotePrefix="1" applyFont="1" applyFill="1" applyBorder="1" applyAlignment="1">
      <alignment horizontal="center"/>
    </xf>
    <xf numFmtId="0" fontId="3" fillId="2" borderId="3" xfId="0" quotePrefix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6" fontId="3" fillId="2" borderId="16" xfId="0" applyNumberFormat="1" applyFont="1" applyFill="1" applyBorder="1" applyAlignment="1">
      <alignment horizontal="center"/>
    </xf>
    <xf numFmtId="6" fontId="3" fillId="2" borderId="17" xfId="0" applyNumberFormat="1" applyFont="1" applyFill="1" applyBorder="1" applyAlignment="1">
      <alignment horizontal="center"/>
    </xf>
    <xf numFmtId="6" fontId="3" fillId="2" borderId="18" xfId="0" applyNumberFormat="1" applyFont="1" applyFill="1" applyBorder="1" applyAlignment="1">
      <alignment horizontal="center"/>
    </xf>
    <xf numFmtId="6" fontId="3" fillId="2" borderId="4" xfId="0" applyNumberFormat="1" applyFont="1" applyFill="1" applyBorder="1" applyAlignment="1">
      <alignment horizontal="center"/>
    </xf>
    <xf numFmtId="6" fontId="3" fillId="2" borderId="6" xfId="0" applyNumberFormat="1" applyFont="1" applyFill="1" applyBorder="1" applyAlignment="1">
      <alignment horizontal="center"/>
    </xf>
    <xf numFmtId="6" fontId="2" fillId="0" borderId="0" xfId="0" applyNumberFormat="1" applyFont="1" applyBorder="1" applyAlignment="1">
      <alignment horizontal="center"/>
    </xf>
    <xf numFmtId="6" fontId="3" fillId="2" borderId="2" xfId="0" applyNumberFormat="1" applyFont="1" applyFill="1" applyBorder="1" applyAlignment="1">
      <alignment horizontal="center"/>
    </xf>
  </cellXfs>
  <cellStyles count="6">
    <cellStyle name="Comma" xfId="1" builtinId="3"/>
    <cellStyle name="Comma 2" xfId="2" xr:uid="{00000000-0005-0000-0000-000001000000}"/>
    <cellStyle name="Currency 2" xfId="3" xr:uid="{00000000-0005-0000-0000-000002000000}"/>
    <cellStyle name="Normal" xfId="0" builtinId="0"/>
    <cellStyle name="Normal 2" xfId="4" xr:uid="{00000000-0005-0000-0000-000004000000}"/>
    <cellStyle name="Percent" xfId="5" builtinId="5"/>
  </cellStyles>
  <dxfs count="0"/>
  <tableStyles count="0" defaultTableStyle="TableStyleMedium9" defaultPivotStyle="PivotStyleLight16"/>
  <colors>
    <mruColors>
      <color rgb="FF0000FF"/>
      <color rgb="FF333333"/>
      <color rgb="FF261036"/>
      <color rgb="FF00642D"/>
      <color rgb="FF008000"/>
      <color rgb="FF00823B"/>
      <color rgb="FF00FF00"/>
      <color rgb="FF009A46"/>
      <color rgb="FFFFFF00"/>
      <color rgb="FF0086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8">
    <tabColor theme="9" tint="-0.499984740745262"/>
    <pageSetUpPr fitToPage="1"/>
  </sheetPr>
  <dimension ref="A1:I70"/>
  <sheetViews>
    <sheetView zoomScaleNormal="100" workbookViewId="0">
      <selection activeCell="A60" sqref="A60:A70"/>
    </sheetView>
  </sheetViews>
  <sheetFormatPr defaultColWidth="9.140625" defaultRowHeight="12.75"/>
  <cols>
    <col min="1" max="1" width="8.28515625" style="144" customWidth="1"/>
    <col min="2" max="2" width="50.5703125" style="46" customWidth="1"/>
    <col min="3" max="3" width="123.140625" style="46" bestFit="1" customWidth="1"/>
    <col min="4" max="4" width="10.28515625" style="161" bestFit="1" customWidth="1"/>
    <col min="5" max="5" width="9.140625" style="46"/>
    <col min="6" max="6" width="9.5703125" style="46" bestFit="1" customWidth="1"/>
    <col min="7" max="16384" width="9.140625" style="46"/>
  </cols>
  <sheetData>
    <row r="1" spans="1:9">
      <c r="A1" s="731" t="s">
        <v>397</v>
      </c>
      <c r="B1" s="731"/>
      <c r="C1" s="731"/>
      <c r="D1" s="731"/>
    </row>
    <row r="2" spans="1:9">
      <c r="A2" s="731" t="s">
        <v>405</v>
      </c>
      <c r="B2" s="731"/>
      <c r="C2" s="731"/>
      <c r="D2" s="731"/>
    </row>
    <row r="3" spans="1:9">
      <c r="A3" s="731" t="s">
        <v>444</v>
      </c>
      <c r="B3" s="731"/>
      <c r="C3" s="731"/>
      <c r="D3" s="731"/>
    </row>
    <row r="4" spans="1:9">
      <c r="A4" s="702"/>
      <c r="B4" s="702"/>
      <c r="C4" s="702"/>
      <c r="D4" s="702"/>
    </row>
    <row r="5" spans="1:9">
      <c r="A5" s="400"/>
      <c r="B5" s="400"/>
      <c r="C5" s="400"/>
    </row>
    <row r="6" spans="1:9">
      <c r="A6" s="731" t="s">
        <v>220</v>
      </c>
      <c r="B6" s="731"/>
      <c r="C6" s="731"/>
      <c r="D6" s="731"/>
    </row>
    <row r="7" spans="1:9">
      <c r="C7" s="48"/>
    </row>
    <row r="8" spans="1:9">
      <c r="A8" s="144" t="s">
        <v>83</v>
      </c>
      <c r="B8" s="27"/>
      <c r="C8" s="120"/>
      <c r="D8" s="144" t="s">
        <v>83</v>
      </c>
    </row>
    <row r="9" spans="1:9">
      <c r="A9" s="403" t="s">
        <v>221</v>
      </c>
      <c r="B9" s="404" t="s">
        <v>222</v>
      </c>
      <c r="C9" s="404" t="s">
        <v>223</v>
      </c>
      <c r="D9" s="403" t="s">
        <v>221</v>
      </c>
      <c r="F9" s="400"/>
    </row>
    <row r="10" spans="1:9">
      <c r="A10" s="403"/>
      <c r="B10" s="404"/>
      <c r="C10" s="404"/>
      <c r="D10" s="403"/>
      <c r="F10" s="400"/>
    </row>
    <row r="11" spans="1:9">
      <c r="A11" s="144">
        <v>1</v>
      </c>
      <c r="B11" s="27" t="s">
        <v>220</v>
      </c>
      <c r="C11" s="389" t="s">
        <v>224</v>
      </c>
      <c r="D11" s="144">
        <v>1</v>
      </c>
      <c r="E11" s="129"/>
      <c r="F11" s="129"/>
      <c r="G11" s="405"/>
      <c r="I11" s="129"/>
    </row>
    <row r="12" spans="1:9">
      <c r="A12" s="144">
        <f t="shared" ref="A12:A70" si="0">A11+1</f>
        <v>2</v>
      </c>
      <c r="B12" s="27" t="s">
        <v>225</v>
      </c>
      <c r="C12" s="389" t="s">
        <v>226</v>
      </c>
      <c r="D12" s="144">
        <f t="shared" ref="D12:D67" si="1">D11+1</f>
        <v>2</v>
      </c>
      <c r="E12" s="129"/>
      <c r="F12" s="129"/>
      <c r="I12" s="129"/>
    </row>
    <row r="13" spans="1:9">
      <c r="A13" s="144">
        <f t="shared" si="0"/>
        <v>3</v>
      </c>
      <c r="B13" s="27" t="s">
        <v>227</v>
      </c>
      <c r="C13" s="389" t="s">
        <v>228</v>
      </c>
      <c r="D13" s="144">
        <f t="shared" si="1"/>
        <v>3</v>
      </c>
      <c r="E13" s="129"/>
      <c r="F13" s="129"/>
      <c r="I13" s="129"/>
    </row>
    <row r="14" spans="1:9">
      <c r="A14" s="144">
        <f t="shared" si="0"/>
        <v>4</v>
      </c>
      <c r="B14" s="65" t="s">
        <v>229</v>
      </c>
      <c r="C14" s="389" t="s">
        <v>230</v>
      </c>
      <c r="D14" s="144">
        <f t="shared" si="1"/>
        <v>4</v>
      </c>
      <c r="E14" s="129"/>
      <c r="F14" s="129"/>
      <c r="G14" s="129"/>
      <c r="I14" s="129"/>
    </row>
    <row r="15" spans="1:9">
      <c r="A15" s="144">
        <f t="shared" si="0"/>
        <v>5</v>
      </c>
      <c r="B15" s="65" t="s">
        <v>445</v>
      </c>
      <c r="C15" s="389" t="s">
        <v>447</v>
      </c>
      <c r="D15" s="144">
        <f t="shared" si="1"/>
        <v>5</v>
      </c>
      <c r="E15" s="129"/>
      <c r="F15" s="129"/>
      <c r="G15" s="129"/>
      <c r="I15" s="129"/>
    </row>
    <row r="16" spans="1:9">
      <c r="A16" s="144">
        <f t="shared" si="0"/>
        <v>6</v>
      </c>
      <c r="B16" s="65" t="s">
        <v>446</v>
      </c>
      <c r="C16" s="389" t="s">
        <v>448</v>
      </c>
      <c r="D16" s="144">
        <f t="shared" si="1"/>
        <v>6</v>
      </c>
      <c r="E16" s="129"/>
      <c r="F16" s="129"/>
      <c r="G16" s="129"/>
      <c r="I16" s="129"/>
    </row>
    <row r="17" spans="1:9">
      <c r="A17" s="144">
        <f t="shared" si="0"/>
        <v>7</v>
      </c>
      <c r="B17" s="65" t="s">
        <v>231</v>
      </c>
      <c r="C17" s="389" t="s">
        <v>383</v>
      </c>
      <c r="D17" s="144">
        <f t="shared" si="1"/>
        <v>7</v>
      </c>
      <c r="E17" s="129"/>
      <c r="F17" s="129"/>
      <c r="G17" s="129"/>
      <c r="I17" s="129"/>
    </row>
    <row r="18" spans="1:9">
      <c r="A18" s="144">
        <f t="shared" si="0"/>
        <v>8</v>
      </c>
      <c r="B18" s="65" t="s">
        <v>232</v>
      </c>
      <c r="C18" s="389" t="s">
        <v>233</v>
      </c>
      <c r="D18" s="144">
        <f t="shared" si="1"/>
        <v>8</v>
      </c>
      <c r="E18" s="129"/>
      <c r="F18" s="129"/>
      <c r="G18" s="129"/>
      <c r="I18" s="129"/>
    </row>
    <row r="19" spans="1:9">
      <c r="A19" s="144">
        <f t="shared" si="0"/>
        <v>9</v>
      </c>
      <c r="B19" s="65" t="s">
        <v>234</v>
      </c>
      <c r="C19" s="389" t="s">
        <v>301</v>
      </c>
      <c r="D19" s="144">
        <f t="shared" si="1"/>
        <v>9</v>
      </c>
      <c r="E19" s="129"/>
      <c r="F19" s="129"/>
      <c r="G19" s="129"/>
      <c r="I19" s="129"/>
    </row>
    <row r="20" spans="1:9">
      <c r="A20" s="144">
        <f t="shared" si="0"/>
        <v>10</v>
      </c>
      <c r="B20" s="65" t="s">
        <v>302</v>
      </c>
      <c r="C20" s="389" t="s">
        <v>235</v>
      </c>
      <c r="D20" s="144">
        <f t="shared" si="1"/>
        <v>10</v>
      </c>
      <c r="E20" s="129"/>
      <c r="F20" s="129"/>
      <c r="G20" s="129"/>
      <c r="I20" s="129"/>
    </row>
    <row r="21" spans="1:9">
      <c r="A21" s="144">
        <f t="shared" si="0"/>
        <v>11</v>
      </c>
      <c r="B21" s="65" t="s">
        <v>236</v>
      </c>
      <c r="C21" s="389" t="s">
        <v>449</v>
      </c>
      <c r="D21" s="144">
        <f t="shared" si="1"/>
        <v>11</v>
      </c>
      <c r="E21" s="129"/>
      <c r="F21" s="129"/>
      <c r="G21" s="129"/>
      <c r="I21" s="129"/>
    </row>
    <row r="22" spans="1:9">
      <c r="A22" s="144">
        <f t="shared" si="0"/>
        <v>12</v>
      </c>
      <c r="B22" s="65" t="s">
        <v>237</v>
      </c>
      <c r="C22" s="389" t="s">
        <v>238</v>
      </c>
      <c r="D22" s="144">
        <f t="shared" si="1"/>
        <v>12</v>
      </c>
      <c r="E22" s="129"/>
      <c r="F22" s="129"/>
      <c r="G22" s="129"/>
      <c r="I22" s="129"/>
    </row>
    <row r="23" spans="1:9">
      <c r="A23" s="144">
        <f t="shared" si="0"/>
        <v>13</v>
      </c>
      <c r="B23" s="65" t="s">
        <v>239</v>
      </c>
      <c r="C23" s="389" t="s">
        <v>240</v>
      </c>
      <c r="D23" s="144">
        <f t="shared" si="1"/>
        <v>13</v>
      </c>
      <c r="E23" s="129"/>
      <c r="F23" s="129"/>
      <c r="G23" s="129"/>
      <c r="I23" s="129"/>
    </row>
    <row r="24" spans="1:9">
      <c r="A24" s="144">
        <f t="shared" si="0"/>
        <v>14</v>
      </c>
      <c r="B24" s="65" t="s">
        <v>241</v>
      </c>
      <c r="C24" s="389" t="s">
        <v>242</v>
      </c>
      <c r="D24" s="144">
        <f t="shared" si="1"/>
        <v>14</v>
      </c>
      <c r="E24" s="129"/>
      <c r="F24" s="129"/>
      <c r="G24" s="129"/>
      <c r="I24" s="129"/>
    </row>
    <row r="25" spans="1:9">
      <c r="A25" s="144">
        <f t="shared" si="0"/>
        <v>15</v>
      </c>
      <c r="B25" s="65" t="s">
        <v>243</v>
      </c>
      <c r="C25" s="389" t="s">
        <v>244</v>
      </c>
      <c r="D25" s="144">
        <f t="shared" si="1"/>
        <v>15</v>
      </c>
      <c r="E25" s="129"/>
      <c r="F25" s="129"/>
      <c r="G25" s="129"/>
      <c r="I25" s="129"/>
    </row>
    <row r="26" spans="1:9">
      <c r="A26" s="144">
        <f t="shared" si="0"/>
        <v>16</v>
      </c>
      <c r="B26" s="65" t="s">
        <v>245</v>
      </c>
      <c r="C26" s="389" t="s">
        <v>246</v>
      </c>
      <c r="D26" s="144">
        <f t="shared" si="1"/>
        <v>16</v>
      </c>
      <c r="E26" s="129"/>
      <c r="F26" s="129"/>
      <c r="G26" s="129"/>
      <c r="I26" s="129"/>
    </row>
    <row r="27" spans="1:9">
      <c r="A27" s="144">
        <f t="shared" si="0"/>
        <v>17</v>
      </c>
      <c r="B27" s="65" t="s">
        <v>247</v>
      </c>
      <c r="C27" s="389" t="s">
        <v>248</v>
      </c>
      <c r="D27" s="144">
        <f t="shared" si="1"/>
        <v>17</v>
      </c>
      <c r="E27" s="129"/>
      <c r="F27" s="129"/>
      <c r="G27" s="129"/>
      <c r="I27" s="129"/>
    </row>
    <row r="28" spans="1:9">
      <c r="A28" s="144">
        <f t="shared" si="0"/>
        <v>18</v>
      </c>
      <c r="B28" s="65" t="s">
        <v>342</v>
      </c>
      <c r="C28" s="389" t="s">
        <v>343</v>
      </c>
      <c r="D28" s="144">
        <f t="shared" si="1"/>
        <v>18</v>
      </c>
      <c r="E28" s="129"/>
      <c r="F28" s="129"/>
      <c r="G28" s="129"/>
      <c r="I28" s="129"/>
    </row>
    <row r="29" spans="1:9">
      <c r="A29" s="144">
        <f t="shared" si="0"/>
        <v>19</v>
      </c>
      <c r="B29" s="65" t="s">
        <v>249</v>
      </c>
      <c r="C29" s="389" t="s">
        <v>250</v>
      </c>
      <c r="D29" s="144">
        <f t="shared" si="1"/>
        <v>19</v>
      </c>
      <c r="E29" s="129"/>
      <c r="F29" s="129"/>
      <c r="G29" s="129"/>
      <c r="I29" s="129"/>
    </row>
    <row r="30" spans="1:9">
      <c r="A30" s="144">
        <f t="shared" si="0"/>
        <v>20</v>
      </c>
      <c r="B30" s="65" t="s">
        <v>251</v>
      </c>
      <c r="C30" s="389" t="s">
        <v>252</v>
      </c>
      <c r="D30" s="144">
        <f t="shared" si="1"/>
        <v>20</v>
      </c>
      <c r="E30" s="129"/>
      <c r="F30" s="129"/>
      <c r="G30" s="405"/>
      <c r="I30" s="129"/>
    </row>
    <row r="31" spans="1:9">
      <c r="A31" s="144">
        <f t="shared" si="0"/>
        <v>21</v>
      </c>
      <c r="B31" s="65" t="s">
        <v>253</v>
      </c>
      <c r="C31" s="389" t="s">
        <v>254</v>
      </c>
      <c r="D31" s="144">
        <f t="shared" si="1"/>
        <v>21</v>
      </c>
      <c r="E31" s="129"/>
      <c r="F31" s="129"/>
      <c r="I31" s="129"/>
    </row>
    <row r="32" spans="1:9">
      <c r="A32" s="144">
        <f t="shared" si="0"/>
        <v>22</v>
      </c>
      <c r="B32" s="65" t="s">
        <v>255</v>
      </c>
      <c r="C32" s="389" t="s">
        <v>384</v>
      </c>
      <c r="D32" s="144">
        <f t="shared" si="1"/>
        <v>22</v>
      </c>
      <c r="E32" s="129"/>
      <c r="F32" s="129"/>
      <c r="I32" s="129"/>
    </row>
    <row r="33" spans="1:9">
      <c r="A33" s="144">
        <f t="shared" si="0"/>
        <v>23</v>
      </c>
      <c r="B33" s="65" t="s">
        <v>256</v>
      </c>
      <c r="C33" s="389" t="s">
        <v>257</v>
      </c>
      <c r="D33" s="144">
        <f t="shared" si="1"/>
        <v>23</v>
      </c>
      <c r="E33" s="129"/>
      <c r="F33" s="129"/>
      <c r="I33" s="129"/>
    </row>
    <row r="34" spans="1:9">
      <c r="A34" s="144">
        <f t="shared" si="0"/>
        <v>24</v>
      </c>
      <c r="B34" s="65" t="s">
        <v>258</v>
      </c>
      <c r="C34" s="389" t="s">
        <v>450</v>
      </c>
      <c r="D34" s="144">
        <f t="shared" si="1"/>
        <v>24</v>
      </c>
      <c r="E34" s="129"/>
      <c r="F34" s="129"/>
      <c r="I34" s="129"/>
    </row>
    <row r="35" spans="1:9">
      <c r="A35" s="144">
        <f t="shared" si="0"/>
        <v>25</v>
      </c>
      <c r="B35" s="65" t="s">
        <v>348</v>
      </c>
      <c r="C35" s="389" t="s">
        <v>351</v>
      </c>
      <c r="D35" s="144">
        <f t="shared" si="1"/>
        <v>25</v>
      </c>
      <c r="E35" s="129"/>
      <c r="F35" s="129"/>
      <c r="I35" s="129"/>
    </row>
    <row r="36" spans="1:9">
      <c r="A36" s="144">
        <f t="shared" si="0"/>
        <v>26</v>
      </c>
      <c r="B36" s="65" t="s">
        <v>349</v>
      </c>
      <c r="C36" s="389" t="s">
        <v>352</v>
      </c>
      <c r="D36" s="144">
        <f t="shared" si="1"/>
        <v>26</v>
      </c>
      <c r="E36" s="129"/>
      <c r="F36" s="129"/>
      <c r="I36" s="129"/>
    </row>
    <row r="37" spans="1:9">
      <c r="A37" s="144">
        <f t="shared" si="0"/>
        <v>27</v>
      </c>
      <c r="B37" s="65" t="s">
        <v>350</v>
      </c>
      <c r="C37" s="389" t="s">
        <v>459</v>
      </c>
      <c r="D37" s="144">
        <f t="shared" si="1"/>
        <v>27</v>
      </c>
      <c r="E37" s="129"/>
      <c r="F37" s="129"/>
      <c r="I37" s="129"/>
    </row>
    <row r="38" spans="1:9">
      <c r="A38" s="144">
        <f t="shared" si="0"/>
        <v>28</v>
      </c>
      <c r="B38" s="65" t="s">
        <v>259</v>
      </c>
      <c r="C38" s="389" t="s">
        <v>260</v>
      </c>
      <c r="D38" s="144">
        <f t="shared" si="1"/>
        <v>28</v>
      </c>
      <c r="E38" s="129"/>
      <c r="F38" s="129"/>
      <c r="I38" s="129"/>
    </row>
    <row r="39" spans="1:9">
      <c r="A39" s="144">
        <f t="shared" si="0"/>
        <v>29</v>
      </c>
      <c r="B39" s="65" t="s">
        <v>261</v>
      </c>
      <c r="C39" s="389" t="s">
        <v>262</v>
      </c>
      <c r="D39" s="144">
        <f t="shared" si="1"/>
        <v>29</v>
      </c>
      <c r="E39" s="129"/>
      <c r="F39" s="129"/>
      <c r="I39" s="129"/>
    </row>
    <row r="40" spans="1:9">
      <c r="A40" s="144">
        <f t="shared" si="0"/>
        <v>30</v>
      </c>
      <c r="B40" s="65" t="s">
        <v>263</v>
      </c>
      <c r="C40" s="389" t="s">
        <v>460</v>
      </c>
      <c r="D40" s="144">
        <f t="shared" si="1"/>
        <v>30</v>
      </c>
      <c r="E40" s="129"/>
      <c r="F40" s="129"/>
      <c r="I40" s="129"/>
    </row>
    <row r="41" spans="1:9">
      <c r="A41" s="144">
        <f t="shared" si="0"/>
        <v>31</v>
      </c>
      <c r="B41" s="65" t="s">
        <v>264</v>
      </c>
      <c r="C41" s="389" t="s">
        <v>265</v>
      </c>
      <c r="D41" s="144">
        <f t="shared" si="1"/>
        <v>31</v>
      </c>
      <c r="E41" s="129"/>
      <c r="F41" s="129"/>
      <c r="G41" s="406"/>
      <c r="I41" s="129"/>
    </row>
    <row r="42" spans="1:9">
      <c r="A42" s="144">
        <f t="shared" si="0"/>
        <v>32</v>
      </c>
      <c r="B42" s="65" t="s">
        <v>303</v>
      </c>
      <c r="C42" s="389" t="s">
        <v>451</v>
      </c>
      <c r="D42" s="144">
        <f t="shared" si="1"/>
        <v>32</v>
      </c>
      <c r="E42" s="129"/>
      <c r="F42" s="129"/>
      <c r="I42" s="129"/>
    </row>
    <row r="43" spans="1:9">
      <c r="A43" s="144">
        <f t="shared" si="0"/>
        <v>33</v>
      </c>
      <c r="B43" s="65" t="s">
        <v>266</v>
      </c>
      <c r="C43" s="389" t="s">
        <v>385</v>
      </c>
      <c r="D43" s="144">
        <f t="shared" si="1"/>
        <v>33</v>
      </c>
      <c r="E43" s="129"/>
      <c r="F43" s="129"/>
      <c r="I43" s="129"/>
    </row>
    <row r="44" spans="1:9">
      <c r="A44" s="144">
        <f t="shared" si="0"/>
        <v>34</v>
      </c>
      <c r="B44" s="65" t="s">
        <v>267</v>
      </c>
      <c r="C44" s="389" t="s">
        <v>268</v>
      </c>
      <c r="D44" s="144">
        <f t="shared" si="1"/>
        <v>34</v>
      </c>
      <c r="E44" s="129"/>
      <c r="F44" s="129"/>
      <c r="I44" s="129"/>
    </row>
    <row r="45" spans="1:9">
      <c r="A45" s="144">
        <f t="shared" si="0"/>
        <v>35</v>
      </c>
      <c r="B45" s="65" t="s">
        <v>269</v>
      </c>
      <c r="C45" s="389" t="s">
        <v>270</v>
      </c>
      <c r="D45" s="144">
        <f t="shared" si="1"/>
        <v>35</v>
      </c>
      <c r="E45" s="129"/>
      <c r="F45" s="129"/>
      <c r="I45" s="129"/>
    </row>
    <row r="46" spans="1:9">
      <c r="A46" s="144">
        <f t="shared" si="0"/>
        <v>36</v>
      </c>
      <c r="B46" s="65" t="s">
        <v>271</v>
      </c>
      <c r="C46" s="389" t="s">
        <v>452</v>
      </c>
      <c r="D46" s="144">
        <f t="shared" si="1"/>
        <v>36</v>
      </c>
      <c r="E46" s="129"/>
      <c r="F46" s="129"/>
      <c r="I46" s="129"/>
    </row>
    <row r="47" spans="1:9">
      <c r="A47" s="144">
        <f t="shared" si="0"/>
        <v>37</v>
      </c>
      <c r="B47" s="65" t="s">
        <v>272</v>
      </c>
      <c r="C47" s="389" t="s">
        <v>386</v>
      </c>
      <c r="D47" s="144">
        <f t="shared" si="1"/>
        <v>37</v>
      </c>
      <c r="E47" s="129"/>
      <c r="F47" s="129"/>
      <c r="I47" s="129"/>
    </row>
    <row r="48" spans="1:9">
      <c r="A48" s="144">
        <f t="shared" si="0"/>
        <v>38</v>
      </c>
      <c r="B48" s="65" t="s">
        <v>273</v>
      </c>
      <c r="C48" s="389" t="s">
        <v>274</v>
      </c>
      <c r="D48" s="144">
        <f t="shared" si="1"/>
        <v>38</v>
      </c>
      <c r="E48" s="129"/>
      <c r="F48" s="129"/>
      <c r="G48" s="406"/>
      <c r="I48" s="129"/>
    </row>
    <row r="49" spans="1:9">
      <c r="A49" s="144">
        <f t="shared" si="0"/>
        <v>39</v>
      </c>
      <c r="B49" s="65" t="s">
        <v>275</v>
      </c>
      <c r="C49" s="389" t="s">
        <v>276</v>
      </c>
      <c r="D49" s="144">
        <f t="shared" si="1"/>
        <v>39</v>
      </c>
      <c r="E49" s="129"/>
      <c r="F49" s="129"/>
      <c r="I49" s="129"/>
    </row>
    <row r="50" spans="1:9">
      <c r="A50" s="144">
        <f t="shared" si="0"/>
        <v>40</v>
      </c>
      <c r="B50" s="65" t="s">
        <v>277</v>
      </c>
      <c r="C50" s="389" t="s">
        <v>453</v>
      </c>
      <c r="D50" s="144">
        <f t="shared" si="1"/>
        <v>40</v>
      </c>
      <c r="E50" s="129"/>
      <c r="F50" s="129"/>
      <c r="I50" s="129"/>
    </row>
    <row r="51" spans="1:9">
      <c r="A51" s="144">
        <f t="shared" si="0"/>
        <v>41</v>
      </c>
      <c r="B51" s="65" t="s">
        <v>278</v>
      </c>
      <c r="C51" s="389" t="s">
        <v>387</v>
      </c>
      <c r="D51" s="144">
        <f t="shared" si="1"/>
        <v>41</v>
      </c>
      <c r="E51" s="129"/>
      <c r="F51" s="129"/>
      <c r="I51" s="129"/>
    </row>
    <row r="52" spans="1:9">
      <c r="A52" s="144">
        <f t="shared" si="0"/>
        <v>42</v>
      </c>
      <c r="B52" s="65" t="s">
        <v>279</v>
      </c>
      <c r="C52" s="389" t="s">
        <v>280</v>
      </c>
      <c r="D52" s="144">
        <f t="shared" si="1"/>
        <v>42</v>
      </c>
      <c r="E52" s="129"/>
      <c r="F52" s="129"/>
      <c r="I52" s="129"/>
    </row>
    <row r="53" spans="1:9">
      <c r="A53" s="144">
        <f t="shared" si="0"/>
        <v>43</v>
      </c>
      <c r="B53" s="65" t="s">
        <v>281</v>
      </c>
      <c r="C53" s="389" t="s">
        <v>282</v>
      </c>
      <c r="D53" s="144">
        <f t="shared" si="1"/>
        <v>43</v>
      </c>
      <c r="E53" s="129"/>
      <c r="F53" s="129"/>
      <c r="I53" s="129"/>
    </row>
    <row r="54" spans="1:9">
      <c r="A54" s="144">
        <f t="shared" si="0"/>
        <v>44</v>
      </c>
      <c r="B54" s="65" t="s">
        <v>283</v>
      </c>
      <c r="C54" s="389" t="s">
        <v>458</v>
      </c>
      <c r="D54" s="144">
        <f t="shared" si="1"/>
        <v>44</v>
      </c>
      <c r="E54" s="129"/>
      <c r="F54" s="129"/>
      <c r="I54" s="129"/>
    </row>
    <row r="55" spans="1:9">
      <c r="A55" s="144">
        <f t="shared" si="0"/>
        <v>45</v>
      </c>
      <c r="B55" s="65" t="s">
        <v>284</v>
      </c>
      <c r="C55" s="389" t="s">
        <v>388</v>
      </c>
      <c r="D55" s="144">
        <f t="shared" si="1"/>
        <v>45</v>
      </c>
    </row>
    <row r="56" spans="1:9">
      <c r="A56" s="144">
        <f t="shared" si="0"/>
        <v>46</v>
      </c>
      <c r="B56" s="65" t="s">
        <v>285</v>
      </c>
      <c r="C56" s="389" t="s">
        <v>286</v>
      </c>
      <c r="D56" s="144">
        <f t="shared" si="1"/>
        <v>46</v>
      </c>
    </row>
    <row r="57" spans="1:9">
      <c r="A57" s="144">
        <f t="shared" si="0"/>
        <v>47</v>
      </c>
      <c r="B57" s="65" t="s">
        <v>287</v>
      </c>
      <c r="C57" s="389" t="s">
        <v>288</v>
      </c>
      <c r="D57" s="144">
        <f t="shared" si="1"/>
        <v>47</v>
      </c>
    </row>
    <row r="58" spans="1:9">
      <c r="A58" s="144">
        <f t="shared" si="0"/>
        <v>48</v>
      </c>
      <c r="B58" s="65" t="s">
        <v>289</v>
      </c>
      <c r="C58" s="389" t="s">
        <v>454</v>
      </c>
      <c r="D58" s="144">
        <f t="shared" si="1"/>
        <v>48</v>
      </c>
    </row>
    <row r="59" spans="1:9">
      <c r="A59" s="144">
        <f t="shared" si="0"/>
        <v>49</v>
      </c>
      <c r="B59" s="65" t="s">
        <v>290</v>
      </c>
      <c r="C59" s="389" t="s">
        <v>291</v>
      </c>
      <c r="D59" s="144">
        <f t="shared" si="1"/>
        <v>49</v>
      </c>
    </row>
    <row r="60" spans="1:9">
      <c r="A60" s="144">
        <f t="shared" si="0"/>
        <v>50</v>
      </c>
      <c r="B60" s="65" t="s">
        <v>292</v>
      </c>
      <c r="C60" s="389" t="s">
        <v>455</v>
      </c>
      <c r="D60" s="144">
        <f t="shared" si="1"/>
        <v>50</v>
      </c>
    </row>
    <row r="61" spans="1:9">
      <c r="A61" s="144">
        <f t="shared" si="0"/>
        <v>51</v>
      </c>
      <c r="B61" s="65" t="s">
        <v>390</v>
      </c>
      <c r="C61" s="389" t="s">
        <v>389</v>
      </c>
      <c r="D61" s="144">
        <f t="shared" si="1"/>
        <v>51</v>
      </c>
    </row>
    <row r="62" spans="1:9">
      <c r="A62" s="144">
        <f t="shared" si="0"/>
        <v>52</v>
      </c>
      <c r="B62" s="65" t="s">
        <v>353</v>
      </c>
      <c r="C62" s="389" t="s">
        <v>356</v>
      </c>
      <c r="D62" s="144">
        <f t="shared" si="1"/>
        <v>52</v>
      </c>
    </row>
    <row r="63" spans="1:9">
      <c r="A63" s="144">
        <f t="shared" si="0"/>
        <v>53</v>
      </c>
      <c r="B63" s="65" t="s">
        <v>354</v>
      </c>
      <c r="C63" s="389" t="s">
        <v>357</v>
      </c>
      <c r="D63" s="144">
        <f t="shared" si="1"/>
        <v>53</v>
      </c>
    </row>
    <row r="64" spans="1:9">
      <c r="A64" s="144">
        <f t="shared" si="0"/>
        <v>54</v>
      </c>
      <c r="B64" s="65" t="s">
        <v>355</v>
      </c>
      <c r="C64" s="389" t="s">
        <v>456</v>
      </c>
      <c r="D64" s="144">
        <f t="shared" si="1"/>
        <v>54</v>
      </c>
    </row>
    <row r="65" spans="1:4">
      <c r="A65" s="144">
        <f t="shared" si="0"/>
        <v>55</v>
      </c>
      <c r="B65" s="65" t="s">
        <v>396</v>
      </c>
      <c r="C65" s="389" t="s">
        <v>457</v>
      </c>
      <c r="D65" s="144">
        <f t="shared" si="1"/>
        <v>55</v>
      </c>
    </row>
    <row r="66" spans="1:4">
      <c r="A66" s="144">
        <f t="shared" si="0"/>
        <v>56</v>
      </c>
      <c r="B66" s="65" t="s">
        <v>293</v>
      </c>
      <c r="C66" s="389" t="s">
        <v>294</v>
      </c>
      <c r="D66" s="144">
        <f t="shared" si="1"/>
        <v>56</v>
      </c>
    </row>
    <row r="67" spans="1:4">
      <c r="A67" s="144">
        <f t="shared" si="0"/>
        <v>57</v>
      </c>
      <c r="B67" s="65" t="s">
        <v>391</v>
      </c>
      <c r="C67" s="46" t="s">
        <v>392</v>
      </c>
      <c r="D67" s="144">
        <f t="shared" si="1"/>
        <v>57</v>
      </c>
    </row>
    <row r="68" spans="1:4">
      <c r="A68" s="144">
        <f t="shared" si="0"/>
        <v>58</v>
      </c>
      <c r="B68" s="65" t="s">
        <v>295</v>
      </c>
      <c r="C68" s="46" t="s">
        <v>296</v>
      </c>
      <c r="D68" s="144">
        <f t="shared" ref="D68:D70" si="2">D67+1</f>
        <v>58</v>
      </c>
    </row>
    <row r="69" spans="1:4">
      <c r="A69" s="144">
        <f t="shared" si="0"/>
        <v>59</v>
      </c>
      <c r="B69" s="46" t="s">
        <v>297</v>
      </c>
      <c r="C69" s="389" t="s">
        <v>298</v>
      </c>
      <c r="D69" s="144">
        <f t="shared" si="2"/>
        <v>59</v>
      </c>
    </row>
    <row r="70" spans="1:4">
      <c r="A70" s="144">
        <f t="shared" si="0"/>
        <v>60</v>
      </c>
      <c r="B70" s="46" t="s">
        <v>299</v>
      </c>
      <c r="C70" s="46" t="s">
        <v>300</v>
      </c>
      <c r="D70" s="144">
        <f t="shared" si="2"/>
        <v>60</v>
      </c>
    </row>
  </sheetData>
  <mergeCells count="4">
    <mergeCell ref="A1:D1"/>
    <mergeCell ref="A2:D2"/>
    <mergeCell ref="A3:D3"/>
    <mergeCell ref="A6:D6"/>
  </mergeCells>
  <printOptions horizontalCentered="1"/>
  <pageMargins left="0.75" right="0.75" top="1" bottom="1" header="0.5" footer="0.5"/>
  <pageSetup scale="47" orientation="portrait" r:id="rId1"/>
  <headerFooter alignWithMargins="0">
    <oddFooter>&amp;L&amp;F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tabColor rgb="FFC00000"/>
    <pageSetUpPr fitToPage="1"/>
  </sheetPr>
  <dimension ref="A1:M63"/>
  <sheetViews>
    <sheetView zoomScaleNormal="100" workbookViewId="0">
      <selection activeCell="C39" sqref="C39"/>
    </sheetView>
  </sheetViews>
  <sheetFormatPr defaultRowHeight="12.75"/>
  <cols>
    <col min="1" max="1" width="29.28515625" customWidth="1"/>
    <col min="2" max="2" width="12.85546875" bestFit="1" customWidth="1"/>
    <col min="3" max="3" width="12" bestFit="1" customWidth="1"/>
    <col min="4" max="4" width="12.28515625" bestFit="1" customWidth="1"/>
    <col min="5" max="5" width="12" bestFit="1" customWidth="1"/>
    <col min="6" max="6" width="12.85546875" bestFit="1" customWidth="1"/>
    <col min="7" max="7" width="8.7109375" bestFit="1" customWidth="1"/>
    <col min="8" max="8" width="9.5703125" customWidth="1"/>
    <col min="9" max="9" width="9" bestFit="1" customWidth="1"/>
    <col min="10" max="10" width="14" bestFit="1" customWidth="1"/>
    <col min="11" max="11" width="11.28515625" bestFit="1" customWidth="1"/>
    <col min="12" max="12" width="12.28515625" bestFit="1" customWidth="1"/>
    <col min="13" max="13" width="11.28515625" bestFit="1" customWidth="1"/>
  </cols>
  <sheetData>
    <row r="1" spans="1:13" ht="18.75" thickBot="1">
      <c r="A1" s="741" t="s">
        <v>54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</row>
    <row r="2" spans="1:13" ht="13.5" thickBot="1">
      <c r="A2" s="1"/>
      <c r="B2" s="742" t="s">
        <v>0</v>
      </c>
      <c r="C2" s="743"/>
      <c r="D2" s="743"/>
      <c r="E2" s="744"/>
      <c r="F2" s="742" t="s">
        <v>1</v>
      </c>
      <c r="G2" s="743"/>
      <c r="H2" s="743"/>
      <c r="I2" s="744"/>
      <c r="J2" s="742" t="s">
        <v>213</v>
      </c>
      <c r="K2" s="743"/>
      <c r="L2" s="743"/>
      <c r="M2" s="744"/>
    </row>
    <row r="3" spans="1:13">
      <c r="A3" s="328"/>
      <c r="B3" s="328"/>
      <c r="C3" s="329"/>
      <c r="D3" s="329"/>
      <c r="E3" s="330" t="s">
        <v>41</v>
      </c>
      <c r="F3" s="328"/>
      <c r="G3" s="329"/>
      <c r="H3" s="329"/>
      <c r="I3" s="330" t="s">
        <v>41</v>
      </c>
      <c r="J3" s="328"/>
      <c r="K3" s="329"/>
      <c r="L3" s="329"/>
      <c r="M3" s="330" t="s">
        <v>41</v>
      </c>
    </row>
    <row r="4" spans="1:13" ht="13.5" thickBot="1">
      <c r="A4" s="2" t="s">
        <v>4</v>
      </c>
      <c r="B4" s="272" t="s">
        <v>36</v>
      </c>
      <c r="C4" s="273" t="s">
        <v>37</v>
      </c>
      <c r="D4" s="273" t="s">
        <v>38</v>
      </c>
      <c r="E4" s="274" t="s">
        <v>39</v>
      </c>
      <c r="F4" s="325" t="s">
        <v>36</v>
      </c>
      <c r="G4" s="326" t="s">
        <v>37</v>
      </c>
      <c r="H4" s="326" t="s">
        <v>38</v>
      </c>
      <c r="I4" s="327" t="s">
        <v>39</v>
      </c>
      <c r="J4" s="325" t="s">
        <v>36</v>
      </c>
      <c r="K4" s="326" t="s">
        <v>37</v>
      </c>
      <c r="L4" s="326" t="s">
        <v>38</v>
      </c>
      <c r="M4" s="327" t="s">
        <v>39</v>
      </c>
    </row>
    <row r="5" spans="1:1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</row>
    <row r="6" spans="1:13">
      <c r="A6" s="10"/>
      <c r="B6" s="10"/>
      <c r="C6" s="27"/>
      <c r="D6" s="27"/>
      <c r="E6" s="9"/>
      <c r="F6" s="10"/>
      <c r="G6" s="27"/>
      <c r="H6" s="27"/>
      <c r="I6" s="9"/>
      <c r="J6" s="10"/>
      <c r="K6" s="27"/>
      <c r="L6" s="27"/>
      <c r="M6" s="9"/>
    </row>
    <row r="7" spans="1:13">
      <c r="A7" s="21" t="s">
        <v>5</v>
      </c>
      <c r="B7" s="138">
        <f>'Sch DR TSM'!R7</f>
        <v>0</v>
      </c>
      <c r="C7" s="32">
        <f>'Sch DR TSM'!S7</f>
        <v>0</v>
      </c>
      <c r="D7" s="32">
        <f>'Sch DR TSM'!T7</f>
        <v>0</v>
      </c>
      <c r="E7" s="45">
        <f>IF(SUM(B7:D7)=0,0,SUM(B7:D7)/'Resid Cust Fcst '!BX8)</f>
        <v>0</v>
      </c>
      <c r="F7" s="138"/>
      <c r="G7" s="32"/>
      <c r="H7" s="32"/>
      <c r="I7" s="45"/>
      <c r="J7" s="138">
        <f>B7+F7</f>
        <v>0</v>
      </c>
      <c r="K7" s="32">
        <f>C7+G7</f>
        <v>0</v>
      </c>
      <c r="L7" s="32">
        <f>D7+H7</f>
        <v>0</v>
      </c>
      <c r="M7" s="45">
        <f>IF(SUM(J7:L7)=0,0,SUM(J7:L7)/'Resid Cust Fcst '!BZ8)</f>
        <v>0</v>
      </c>
    </row>
    <row r="8" spans="1:13">
      <c r="A8" s="22" t="s">
        <v>6</v>
      </c>
      <c r="B8" s="138">
        <f>'Sch DR TSM'!R8</f>
        <v>0</v>
      </c>
      <c r="C8" s="32">
        <f>'Sch DR TSM'!S8</f>
        <v>0</v>
      </c>
      <c r="D8" s="32">
        <f>'Sch DR TSM'!T8</f>
        <v>0</v>
      </c>
      <c r="E8" s="45">
        <f>IF(SUM(B8:D8)=0,0,SUM(B8:D8)/'Resid Cust Fcst '!BX9)</f>
        <v>0</v>
      </c>
      <c r="F8" s="138"/>
      <c r="G8" s="32"/>
      <c r="H8" s="32"/>
      <c r="I8" s="45"/>
      <c r="J8" s="138">
        <f t="shared" ref="J8:J37" si="0">B8+F8</f>
        <v>0</v>
      </c>
      <c r="K8" s="32">
        <f t="shared" ref="K8:K37" si="1">C8+G8</f>
        <v>0</v>
      </c>
      <c r="L8" s="32">
        <f t="shared" ref="L8:L37" si="2">D8+H8</f>
        <v>0</v>
      </c>
      <c r="M8" s="45">
        <f>IF(SUM(J8:L8)=0,0,SUM(J8:L8)/'Resid Cust Fcst '!BZ9)</f>
        <v>0</v>
      </c>
    </row>
    <row r="9" spans="1:13">
      <c r="A9" s="22" t="s">
        <v>7</v>
      </c>
      <c r="B9" s="138">
        <f>'Sch DR TSM'!R9</f>
        <v>0</v>
      </c>
      <c r="C9" s="32">
        <f>'Sch DR TSM'!S9</f>
        <v>0</v>
      </c>
      <c r="D9" s="32">
        <f>'Sch DR TSM'!T9</f>
        <v>0</v>
      </c>
      <c r="E9" s="45">
        <f>IF(SUM(B9:D9)=0,0,SUM(B9:D9)/'Resid Cust Fcst '!BX10)</f>
        <v>0</v>
      </c>
      <c r="F9" s="138"/>
      <c r="G9" s="32"/>
      <c r="H9" s="32"/>
      <c r="I9" s="45"/>
      <c r="J9" s="138">
        <f t="shared" si="0"/>
        <v>0</v>
      </c>
      <c r="K9" s="32">
        <f t="shared" si="1"/>
        <v>0</v>
      </c>
      <c r="L9" s="32">
        <f t="shared" si="2"/>
        <v>0</v>
      </c>
      <c r="M9" s="45">
        <f>IF(SUM(J9:L9)=0,0,SUM(J9:L9)/'Resid Cust Fcst '!BZ10)</f>
        <v>0</v>
      </c>
    </row>
    <row r="10" spans="1:13">
      <c r="A10" s="276" t="s">
        <v>110</v>
      </c>
      <c r="B10" s="138">
        <f>'Sch DR TSM'!R10</f>
        <v>1349.6507651389106</v>
      </c>
      <c r="C10" s="32">
        <f>'Sch DR TSM'!S10</f>
        <v>213.73179817905475</v>
      </c>
      <c r="D10" s="32">
        <f>'Sch DR TSM'!T10</f>
        <v>195.54777786497777</v>
      </c>
      <c r="E10" s="45">
        <f>IF(SUM(B10:D10)=0,0,SUM(B10:D10)/'Resid Cust Fcst '!BX11)</f>
        <v>1758.9303411829433</v>
      </c>
      <c r="F10" s="138"/>
      <c r="G10" s="32"/>
      <c r="H10" s="32"/>
      <c r="I10" s="45"/>
      <c r="J10" s="138">
        <f t="shared" si="0"/>
        <v>1349.6507651389106</v>
      </c>
      <c r="K10" s="32">
        <f t="shared" si="1"/>
        <v>213.73179817905475</v>
      </c>
      <c r="L10" s="32">
        <f t="shared" si="2"/>
        <v>195.54777786497777</v>
      </c>
      <c r="M10" s="45">
        <f>IF(SUM(J10:L10)=0,0,SUM(J10:L10)/'Resid Cust Fcst '!BZ11)</f>
        <v>1758.9303411829433</v>
      </c>
    </row>
    <row r="11" spans="1:13">
      <c r="A11" s="21" t="s">
        <v>102</v>
      </c>
      <c r="B11" s="138">
        <f>'Sch DR TSM'!R11</f>
        <v>0</v>
      </c>
      <c r="C11" s="32">
        <f>'Sch DR TSM'!S11</f>
        <v>0</v>
      </c>
      <c r="D11" s="32">
        <f>'Sch DR TSM'!T11</f>
        <v>0</v>
      </c>
      <c r="E11" s="45">
        <f>IF(SUM(B11:D11)=0,0,SUM(B11:D11)/'Resid Cust Fcst '!BX12)</f>
        <v>0</v>
      </c>
      <c r="F11" s="138"/>
      <c r="G11" s="32"/>
      <c r="H11" s="32"/>
      <c r="I11" s="45"/>
      <c r="J11" s="138">
        <f t="shared" si="0"/>
        <v>0</v>
      </c>
      <c r="K11" s="32">
        <f t="shared" si="1"/>
        <v>0</v>
      </c>
      <c r="L11" s="32">
        <f t="shared" si="2"/>
        <v>0</v>
      </c>
      <c r="M11" s="45">
        <f>IF(SUM(J11:L11)=0,0,SUM(J11:L11)/'Resid Cust Fcst '!BZ12)</f>
        <v>0</v>
      </c>
    </row>
    <row r="12" spans="1:13">
      <c r="A12" s="21" t="s">
        <v>8</v>
      </c>
      <c r="B12" s="138">
        <f>'Sch DR TSM'!R12</f>
        <v>0</v>
      </c>
      <c r="C12" s="32">
        <f>'Sch DR TSM'!S12</f>
        <v>0</v>
      </c>
      <c r="D12" s="32">
        <f>'Sch DR TSM'!T12</f>
        <v>0</v>
      </c>
      <c r="E12" s="45">
        <f>IF(SUM(B12:D12)=0,0,SUM(B12:D12)/'Resid Cust Fcst '!BX13)</f>
        <v>0</v>
      </c>
      <c r="F12" s="138"/>
      <c r="G12" s="32"/>
      <c r="H12" s="32"/>
      <c r="I12" s="45"/>
      <c r="J12" s="138">
        <f t="shared" si="0"/>
        <v>0</v>
      </c>
      <c r="K12" s="32">
        <f t="shared" si="1"/>
        <v>0</v>
      </c>
      <c r="L12" s="32">
        <f t="shared" si="2"/>
        <v>0</v>
      </c>
      <c r="M12" s="45">
        <f>IF(SUM(J12:L12)=0,0,SUM(J12:L12)/'Resid Cust Fcst '!BZ13)</f>
        <v>0</v>
      </c>
    </row>
    <row r="13" spans="1:13">
      <c r="A13" s="21" t="s">
        <v>9</v>
      </c>
      <c r="B13" s="138">
        <f>'Sch DR TSM'!R13</f>
        <v>0</v>
      </c>
      <c r="C13" s="32">
        <f>'Sch DR TSM'!S13</f>
        <v>0</v>
      </c>
      <c r="D13" s="32">
        <f>'Sch DR TSM'!T13</f>
        <v>0</v>
      </c>
      <c r="E13" s="45">
        <f>IF(SUM(B13:D13)=0,0,SUM(B13:D13)/'Resid Cust Fcst '!BX14)</f>
        <v>0</v>
      </c>
      <c r="F13" s="138"/>
      <c r="G13" s="32"/>
      <c r="H13" s="32"/>
      <c r="I13" s="45"/>
      <c r="J13" s="138">
        <f t="shared" si="0"/>
        <v>0</v>
      </c>
      <c r="K13" s="32">
        <f t="shared" si="1"/>
        <v>0</v>
      </c>
      <c r="L13" s="32">
        <f t="shared" si="2"/>
        <v>0</v>
      </c>
      <c r="M13" s="45">
        <f>IF(SUM(J13:L13)=0,0,SUM(J13:L13)/'Resid Cust Fcst '!BZ14)</f>
        <v>0</v>
      </c>
    </row>
    <row r="14" spans="1:13">
      <c r="A14" s="21" t="s">
        <v>10</v>
      </c>
      <c r="B14" s="138">
        <f>'Sch DR TSM'!R14</f>
        <v>0</v>
      </c>
      <c r="C14" s="32">
        <f>'Sch DR TSM'!S14</f>
        <v>0</v>
      </c>
      <c r="D14" s="32">
        <f>'Sch DR TSM'!T14</f>
        <v>0</v>
      </c>
      <c r="E14" s="45">
        <f>IF(SUM(B14:D14)=0,0,SUM(B14:D14)/'Resid Cust Fcst '!BX15)</f>
        <v>0</v>
      </c>
      <c r="F14" s="138"/>
      <c r="G14" s="32"/>
      <c r="H14" s="32"/>
      <c r="I14" s="45"/>
      <c r="J14" s="138">
        <f t="shared" si="0"/>
        <v>0</v>
      </c>
      <c r="K14" s="32">
        <f t="shared" si="1"/>
        <v>0</v>
      </c>
      <c r="L14" s="32">
        <f t="shared" si="2"/>
        <v>0</v>
      </c>
      <c r="M14" s="45">
        <f>IF(SUM(J14:L14)=0,0,SUM(J14:L14)/'Resid Cust Fcst '!BZ15)</f>
        <v>0</v>
      </c>
    </row>
    <row r="15" spans="1:13">
      <c r="A15" s="21" t="s">
        <v>11</v>
      </c>
      <c r="B15" s="138">
        <f>'Sch DR TSM'!R15</f>
        <v>0</v>
      </c>
      <c r="C15" s="32">
        <f>'Sch DR TSM'!S15</f>
        <v>0</v>
      </c>
      <c r="D15" s="32">
        <f>'Sch DR TSM'!T15</f>
        <v>0</v>
      </c>
      <c r="E15" s="45">
        <f>IF(SUM(B15:D15)=0,0,SUM(B15:D15)/'Resid Cust Fcst '!BX16)</f>
        <v>0</v>
      </c>
      <c r="F15" s="138"/>
      <c r="G15" s="32"/>
      <c r="H15" s="32"/>
      <c r="I15" s="45"/>
      <c r="J15" s="138">
        <f t="shared" si="0"/>
        <v>0</v>
      </c>
      <c r="K15" s="32">
        <f t="shared" si="1"/>
        <v>0</v>
      </c>
      <c r="L15" s="32">
        <f t="shared" si="2"/>
        <v>0</v>
      </c>
      <c r="M15" s="45">
        <f>IF(SUM(J15:L15)=0,0,SUM(J15:L15)/'Resid Cust Fcst '!BZ16)</f>
        <v>0</v>
      </c>
    </row>
    <row r="16" spans="1:13">
      <c r="A16" s="21" t="s">
        <v>106</v>
      </c>
      <c r="B16" s="138">
        <f>'Sch DR TSM'!R16</f>
        <v>0</v>
      </c>
      <c r="C16" s="32">
        <f>'Sch DR TSM'!S16</f>
        <v>0</v>
      </c>
      <c r="D16" s="32">
        <f>'Sch DR TSM'!T16</f>
        <v>0</v>
      </c>
      <c r="E16" s="45">
        <f>IF(SUM(B16:D16)=0,0,SUM(B16:D16)/'Resid Cust Fcst '!BX17)</f>
        <v>0</v>
      </c>
      <c r="F16" s="138"/>
      <c r="G16" s="32"/>
      <c r="H16" s="32"/>
      <c r="I16" s="45"/>
      <c r="J16" s="138">
        <f t="shared" si="0"/>
        <v>0</v>
      </c>
      <c r="K16" s="32">
        <f t="shared" si="1"/>
        <v>0</v>
      </c>
      <c r="L16" s="32">
        <f t="shared" si="2"/>
        <v>0</v>
      </c>
      <c r="M16" s="45">
        <f>IF(SUM(J16:L16)=0,0,SUM(J16:L16)/'Resid Cust Fcst '!BZ17)</f>
        <v>0</v>
      </c>
    </row>
    <row r="17" spans="1:13">
      <c r="A17" s="21" t="s">
        <v>107</v>
      </c>
      <c r="B17" s="138">
        <f>'Sch DR TSM'!R17</f>
        <v>0</v>
      </c>
      <c r="C17" s="32">
        <f>'Sch DR TSM'!S17</f>
        <v>0</v>
      </c>
      <c r="D17" s="32">
        <f>'Sch DR TSM'!T17</f>
        <v>0</v>
      </c>
      <c r="E17" s="45">
        <f>IF(SUM(B17:D17)=0,0,SUM(B17:D17)/'Resid Cust Fcst '!BX18)</f>
        <v>0</v>
      </c>
      <c r="F17" s="138"/>
      <c r="G17" s="32"/>
      <c r="H17" s="32"/>
      <c r="I17" s="45"/>
      <c r="J17" s="138">
        <f t="shared" si="0"/>
        <v>0</v>
      </c>
      <c r="K17" s="32">
        <f t="shared" si="1"/>
        <v>0</v>
      </c>
      <c r="L17" s="32">
        <f t="shared" si="2"/>
        <v>0</v>
      </c>
      <c r="M17" s="45">
        <f>IF(SUM(J17:L17)=0,0,SUM(J17:L17)/'Resid Cust Fcst '!BZ18)</f>
        <v>0</v>
      </c>
    </row>
    <row r="18" spans="1:13">
      <c r="A18" s="21" t="s">
        <v>12</v>
      </c>
      <c r="B18" s="138">
        <f>'Sch DR TSM'!R18</f>
        <v>0</v>
      </c>
      <c r="C18" s="32">
        <f>'Sch DR TSM'!S18</f>
        <v>0</v>
      </c>
      <c r="D18" s="32">
        <f>'Sch DR TSM'!T18</f>
        <v>0</v>
      </c>
      <c r="E18" s="45">
        <f>IF(SUM(B18:D18)=0,0,SUM(B18:D18)/'Resid Cust Fcst '!BX19)</f>
        <v>0</v>
      </c>
      <c r="F18" s="138"/>
      <c r="G18" s="32"/>
      <c r="H18" s="32"/>
      <c r="I18" s="45"/>
      <c r="J18" s="138">
        <f t="shared" si="0"/>
        <v>0</v>
      </c>
      <c r="K18" s="32">
        <f t="shared" si="1"/>
        <v>0</v>
      </c>
      <c r="L18" s="32">
        <f t="shared" si="2"/>
        <v>0</v>
      </c>
      <c r="M18" s="45">
        <f>IF(SUM(J18:L18)=0,0,SUM(J18:L18)/'Resid Cust Fcst '!BZ19)</f>
        <v>0</v>
      </c>
    </row>
    <row r="19" spans="1:13">
      <c r="A19" s="104" t="s">
        <v>13</v>
      </c>
      <c r="B19" s="138">
        <f>'Sch DR TSM'!R19</f>
        <v>0</v>
      </c>
      <c r="C19" s="32">
        <f>'Sch DR TSM'!S19</f>
        <v>0</v>
      </c>
      <c r="D19" s="32">
        <f>'Sch DR TSM'!T19</f>
        <v>0</v>
      </c>
      <c r="E19" s="45">
        <f>IF(SUM(B19:D19)=0,0,SUM(B19:D19)/'Resid Cust Fcst '!BX20)</f>
        <v>0</v>
      </c>
      <c r="F19" s="138"/>
      <c r="G19" s="32"/>
      <c r="H19" s="32"/>
      <c r="I19" s="45"/>
      <c r="J19" s="138">
        <f t="shared" si="0"/>
        <v>0</v>
      </c>
      <c r="K19" s="32">
        <f t="shared" si="1"/>
        <v>0</v>
      </c>
      <c r="L19" s="32">
        <f t="shared" si="2"/>
        <v>0</v>
      </c>
      <c r="M19" s="45">
        <f>IF(SUM(J19:L19)=0,0,SUM(J19:L19)/'Resid Cust Fcst '!BZ20)</f>
        <v>0</v>
      </c>
    </row>
    <row r="20" spans="1:13">
      <c r="A20" s="21" t="s">
        <v>108</v>
      </c>
      <c r="B20" s="138">
        <f>'Sch DR TSM'!R20</f>
        <v>0</v>
      </c>
      <c r="C20" s="32">
        <f>'Sch DR TSM'!S20</f>
        <v>0</v>
      </c>
      <c r="D20" s="32">
        <f>'Sch DR TSM'!T20</f>
        <v>0</v>
      </c>
      <c r="E20" s="45">
        <f>IF(SUM(B20:D20)=0,0,SUM(B20:D20)/'Resid Cust Fcst '!BX21)</f>
        <v>0</v>
      </c>
      <c r="F20" s="138"/>
      <c r="G20" s="32"/>
      <c r="H20" s="32"/>
      <c r="I20" s="45"/>
      <c r="J20" s="138">
        <f t="shared" si="0"/>
        <v>0</v>
      </c>
      <c r="K20" s="32">
        <f t="shared" si="1"/>
        <v>0</v>
      </c>
      <c r="L20" s="32">
        <f t="shared" si="2"/>
        <v>0</v>
      </c>
      <c r="M20" s="45">
        <f>IF(SUM(J20:L20)=0,0,SUM(J20:L20)/'Resid Cust Fcst '!BZ21)</f>
        <v>0</v>
      </c>
    </row>
    <row r="21" spans="1:13">
      <c r="A21" s="21" t="s">
        <v>109</v>
      </c>
      <c r="B21" s="138">
        <f>'Sch DR TSM'!R21</f>
        <v>0</v>
      </c>
      <c r="C21" s="32">
        <f>'Sch DR TSM'!S21</f>
        <v>0</v>
      </c>
      <c r="D21" s="32">
        <f>'Sch DR TSM'!T21</f>
        <v>0</v>
      </c>
      <c r="E21" s="45">
        <f>IF(SUM(B21:D21)=0,0,SUM(B21:D21)/'Resid Cust Fcst '!BX22)</f>
        <v>0</v>
      </c>
      <c r="F21" s="138"/>
      <c r="G21" s="32"/>
      <c r="H21" s="32"/>
      <c r="I21" s="45"/>
      <c r="J21" s="138">
        <f t="shared" si="0"/>
        <v>0</v>
      </c>
      <c r="K21" s="32">
        <f t="shared" si="1"/>
        <v>0</v>
      </c>
      <c r="L21" s="32">
        <f t="shared" si="2"/>
        <v>0</v>
      </c>
      <c r="M21" s="45">
        <f>IF(SUM(J21:L21)=0,0,SUM(J21:L21)/'Resid Cust Fcst '!BZ22)</f>
        <v>0</v>
      </c>
    </row>
    <row r="22" spans="1:13">
      <c r="A22" s="21" t="s">
        <v>14</v>
      </c>
      <c r="B22" s="138">
        <f>'Sch DR TSM'!R22</f>
        <v>0</v>
      </c>
      <c r="C22" s="32">
        <f>'Sch DR TSM'!S22</f>
        <v>0</v>
      </c>
      <c r="D22" s="32">
        <f>'Sch DR TSM'!T22</f>
        <v>0</v>
      </c>
      <c r="E22" s="45">
        <f>IF(SUM(B22:D22)=0,0,SUM(B22:D22)/'Resid Cust Fcst '!BX23)</f>
        <v>0</v>
      </c>
      <c r="F22" s="138"/>
      <c r="G22" s="32"/>
      <c r="H22" s="32"/>
      <c r="I22" s="45"/>
      <c r="J22" s="138">
        <f t="shared" si="0"/>
        <v>0</v>
      </c>
      <c r="K22" s="32">
        <f t="shared" si="1"/>
        <v>0</v>
      </c>
      <c r="L22" s="32">
        <f t="shared" si="2"/>
        <v>0</v>
      </c>
      <c r="M22" s="45">
        <f>IF(SUM(J22:L22)=0,0,SUM(J22:L22)/'Resid Cust Fcst '!BZ23)</f>
        <v>0</v>
      </c>
    </row>
    <row r="23" spans="1:13">
      <c r="A23" s="21" t="s">
        <v>15</v>
      </c>
      <c r="B23" s="138">
        <f>'Sch DR TSM'!R23</f>
        <v>0</v>
      </c>
      <c r="C23" s="32">
        <f>'Sch DR TSM'!S23</f>
        <v>0</v>
      </c>
      <c r="D23" s="32">
        <f>'Sch DR TSM'!T23</f>
        <v>0</v>
      </c>
      <c r="E23" s="45">
        <f>IF(SUM(B23:D23)=0,0,SUM(B23:D23)/'Resid Cust Fcst '!BX24)</f>
        <v>0</v>
      </c>
      <c r="F23" s="138"/>
      <c r="G23" s="32"/>
      <c r="H23" s="32"/>
      <c r="I23" s="45"/>
      <c r="J23" s="138">
        <f t="shared" si="0"/>
        <v>0</v>
      </c>
      <c r="K23" s="32">
        <f t="shared" si="1"/>
        <v>0</v>
      </c>
      <c r="L23" s="32">
        <f t="shared" si="2"/>
        <v>0</v>
      </c>
      <c r="M23" s="45">
        <f>IF(SUM(J23:L23)=0,0,SUM(J23:L23)/'Resid Cust Fcst '!BZ24)</f>
        <v>0</v>
      </c>
    </row>
    <row r="24" spans="1:13">
      <c r="A24" s="21" t="s">
        <v>16</v>
      </c>
      <c r="B24" s="138">
        <f>'Sch DR TSM'!R24</f>
        <v>0</v>
      </c>
      <c r="C24" s="32">
        <f>'Sch DR TSM'!S24</f>
        <v>0</v>
      </c>
      <c r="D24" s="32">
        <f>'Sch DR TSM'!T24</f>
        <v>0</v>
      </c>
      <c r="E24" s="45">
        <f>IF(SUM(B24:D24)=0,0,SUM(B24:D24)/'Resid Cust Fcst '!BX25)</f>
        <v>0</v>
      </c>
      <c r="F24" s="138"/>
      <c r="G24" s="32"/>
      <c r="H24" s="32"/>
      <c r="I24" s="45"/>
      <c r="J24" s="138">
        <f t="shared" si="0"/>
        <v>0</v>
      </c>
      <c r="K24" s="32">
        <f t="shared" si="1"/>
        <v>0</v>
      </c>
      <c r="L24" s="32">
        <f t="shared" si="2"/>
        <v>0</v>
      </c>
      <c r="M24" s="45">
        <f>IF(SUM(J24:L24)=0,0,SUM(J24:L24)/'Resid Cust Fcst '!BZ25)</f>
        <v>0</v>
      </c>
    </row>
    <row r="25" spans="1:13">
      <c r="A25" s="21" t="s">
        <v>17</v>
      </c>
      <c r="B25" s="138">
        <f>'Sch DR TSM'!R25</f>
        <v>0</v>
      </c>
      <c r="C25" s="32">
        <f>'Sch DR TSM'!S25</f>
        <v>0</v>
      </c>
      <c r="D25" s="32">
        <f>'Sch DR TSM'!T25</f>
        <v>0</v>
      </c>
      <c r="E25" s="45">
        <f>IF(SUM(B25:D25)=0,0,SUM(B25:D25)/'Resid Cust Fcst '!BX26)</f>
        <v>0</v>
      </c>
      <c r="F25" s="138"/>
      <c r="G25" s="32"/>
      <c r="H25" s="32"/>
      <c r="I25" s="45"/>
      <c r="J25" s="138">
        <f t="shared" si="0"/>
        <v>0</v>
      </c>
      <c r="K25" s="32">
        <f t="shared" si="1"/>
        <v>0</v>
      </c>
      <c r="L25" s="32">
        <f t="shared" si="2"/>
        <v>0</v>
      </c>
      <c r="M25" s="45">
        <f>IF(SUM(J25:L25)=0,0,SUM(J25:L25)/'Resid Cust Fcst '!BZ26)</f>
        <v>0</v>
      </c>
    </row>
    <row r="26" spans="1:13">
      <c r="A26" s="21" t="s">
        <v>18</v>
      </c>
      <c r="B26" s="138">
        <f>'Sch DR TSM'!R26</f>
        <v>0</v>
      </c>
      <c r="C26" s="32">
        <f>'Sch DR TSM'!S26</f>
        <v>0</v>
      </c>
      <c r="D26" s="32">
        <f>'Sch DR TSM'!T26</f>
        <v>0</v>
      </c>
      <c r="E26" s="45">
        <f>IF(SUM(B26:D26)=0,0,SUM(B26:D26)/'Resid Cust Fcst '!BX27)</f>
        <v>0</v>
      </c>
      <c r="F26" s="138"/>
      <c r="G26" s="32"/>
      <c r="H26" s="32"/>
      <c r="I26" s="45"/>
      <c r="J26" s="138">
        <f t="shared" si="0"/>
        <v>0</v>
      </c>
      <c r="K26" s="32">
        <f t="shared" si="1"/>
        <v>0</v>
      </c>
      <c r="L26" s="32">
        <f t="shared" si="2"/>
        <v>0</v>
      </c>
      <c r="M26" s="45">
        <f>IF(SUM(J26:L26)=0,0,SUM(J26:L26)/'Resid Cust Fcst '!BZ27)</f>
        <v>0</v>
      </c>
    </row>
    <row r="27" spans="1:13">
      <c r="A27" s="21" t="s">
        <v>19</v>
      </c>
      <c r="B27" s="138">
        <f>'Sch DR TSM'!R27</f>
        <v>0</v>
      </c>
      <c r="C27" s="32">
        <f>'Sch DR TSM'!S27</f>
        <v>0</v>
      </c>
      <c r="D27" s="32">
        <f>'Sch DR TSM'!T27</f>
        <v>0</v>
      </c>
      <c r="E27" s="45">
        <f>IF(SUM(B27:D27)=0,0,SUM(B27:D27)/'Resid Cust Fcst '!BX28)</f>
        <v>0</v>
      </c>
      <c r="F27" s="138"/>
      <c r="G27" s="32"/>
      <c r="H27" s="32"/>
      <c r="I27" s="45"/>
      <c r="J27" s="138">
        <f t="shared" si="0"/>
        <v>0</v>
      </c>
      <c r="K27" s="32">
        <f t="shared" si="1"/>
        <v>0</v>
      </c>
      <c r="L27" s="32">
        <f t="shared" si="2"/>
        <v>0</v>
      </c>
      <c r="M27" s="45">
        <f>IF(SUM(J27:L27)=0,0,SUM(J27:L27)/'Resid Cust Fcst '!BZ28)</f>
        <v>0</v>
      </c>
    </row>
    <row r="28" spans="1:13">
      <c r="A28" s="21" t="s">
        <v>20</v>
      </c>
      <c r="B28" s="138">
        <f>'Sch DR TSM'!R28</f>
        <v>0</v>
      </c>
      <c r="C28" s="32">
        <f>'Sch DR TSM'!S28</f>
        <v>0</v>
      </c>
      <c r="D28" s="32">
        <f>'Sch DR TSM'!T28</f>
        <v>0</v>
      </c>
      <c r="E28" s="45">
        <f>IF(SUM(B28:D28)=0,0,SUM(B28:D28)/'Resid Cust Fcst '!BX29)</f>
        <v>0</v>
      </c>
      <c r="F28" s="138"/>
      <c r="G28" s="32"/>
      <c r="H28" s="32"/>
      <c r="I28" s="45"/>
      <c r="J28" s="138">
        <f t="shared" si="0"/>
        <v>0</v>
      </c>
      <c r="K28" s="32">
        <f t="shared" si="1"/>
        <v>0</v>
      </c>
      <c r="L28" s="32">
        <f t="shared" si="2"/>
        <v>0</v>
      </c>
      <c r="M28" s="45">
        <f>IF(SUM(J28:L28)=0,0,SUM(J28:L28)/'Resid Cust Fcst '!BZ29)</f>
        <v>0</v>
      </c>
    </row>
    <row r="29" spans="1:13">
      <c r="A29" s="21" t="s">
        <v>21</v>
      </c>
      <c r="B29" s="138">
        <f>'Sch DR TSM'!R29</f>
        <v>0</v>
      </c>
      <c r="C29" s="32">
        <f>'Sch DR TSM'!S29</f>
        <v>0</v>
      </c>
      <c r="D29" s="32">
        <f>'Sch DR TSM'!T29</f>
        <v>0</v>
      </c>
      <c r="E29" s="45">
        <f>IF(SUM(B29:D29)=0,0,SUM(B29:D29)/'Resid Cust Fcst '!BX30)</f>
        <v>0</v>
      </c>
      <c r="F29" s="138"/>
      <c r="G29" s="32"/>
      <c r="H29" s="32"/>
      <c r="I29" s="45"/>
      <c r="J29" s="138">
        <f t="shared" si="0"/>
        <v>0</v>
      </c>
      <c r="K29" s="32">
        <f t="shared" si="1"/>
        <v>0</v>
      </c>
      <c r="L29" s="32">
        <f t="shared" si="2"/>
        <v>0</v>
      </c>
      <c r="M29" s="45">
        <f>IF(SUM(J29:L29)=0,0,SUM(J29:L29)/'Resid Cust Fcst '!BZ30)</f>
        <v>0</v>
      </c>
    </row>
    <row r="30" spans="1:13">
      <c r="A30" s="21" t="s">
        <v>22</v>
      </c>
      <c r="B30" s="138">
        <f>'Sch DR TSM'!R30</f>
        <v>0</v>
      </c>
      <c r="C30" s="32">
        <f>'Sch DR TSM'!S30</f>
        <v>0</v>
      </c>
      <c r="D30" s="32">
        <f>'Sch DR TSM'!T30</f>
        <v>0</v>
      </c>
      <c r="E30" s="45">
        <f>IF(SUM(B30:D30)=0,0,SUM(B30:D30)/'Resid Cust Fcst '!BX31)</f>
        <v>0</v>
      </c>
      <c r="F30" s="138"/>
      <c r="G30" s="32"/>
      <c r="H30" s="32"/>
      <c r="I30" s="45"/>
      <c r="J30" s="138">
        <f t="shared" si="0"/>
        <v>0</v>
      </c>
      <c r="K30" s="32">
        <f t="shared" si="1"/>
        <v>0</v>
      </c>
      <c r="L30" s="32">
        <f t="shared" si="2"/>
        <v>0</v>
      </c>
      <c r="M30" s="45">
        <f>IF(SUM(J30:L30)=0,0,SUM(J30:L30)/'Resid Cust Fcst '!BZ31)</f>
        <v>0</v>
      </c>
    </row>
    <row r="31" spans="1:13">
      <c r="A31" s="21" t="s">
        <v>23</v>
      </c>
      <c r="B31" s="138">
        <f>'Sch DR TSM'!R31</f>
        <v>0</v>
      </c>
      <c r="C31" s="32">
        <f>'Sch DR TSM'!S31</f>
        <v>0</v>
      </c>
      <c r="D31" s="32">
        <f>'Sch DR TSM'!T31</f>
        <v>0</v>
      </c>
      <c r="E31" s="45">
        <f>IF(SUM(B31:D31)=0,0,SUM(B31:D31)/'Resid Cust Fcst '!BX32)</f>
        <v>0</v>
      </c>
      <c r="F31" s="138"/>
      <c r="G31" s="32"/>
      <c r="H31" s="32"/>
      <c r="I31" s="45"/>
      <c r="J31" s="138">
        <f t="shared" si="0"/>
        <v>0</v>
      </c>
      <c r="K31" s="32">
        <f t="shared" si="1"/>
        <v>0</v>
      </c>
      <c r="L31" s="32">
        <f t="shared" si="2"/>
        <v>0</v>
      </c>
      <c r="M31" s="45">
        <f>IF(SUM(J31:L31)=0,0,SUM(J31:L31)/'Resid Cust Fcst '!BZ32)</f>
        <v>0</v>
      </c>
    </row>
    <row r="32" spans="1:13">
      <c r="A32" s="21" t="s">
        <v>24</v>
      </c>
      <c r="B32" s="138">
        <f>'Sch DR TSM'!R32</f>
        <v>0</v>
      </c>
      <c r="C32" s="32">
        <f>'Sch DR TSM'!S32</f>
        <v>0</v>
      </c>
      <c r="D32" s="32">
        <f>'Sch DR TSM'!T32</f>
        <v>0</v>
      </c>
      <c r="E32" s="45">
        <f>IF(SUM(B32:D32)=0,0,SUM(B32:D32)/'Resid Cust Fcst '!BX33)</f>
        <v>0</v>
      </c>
      <c r="F32" s="138"/>
      <c r="G32" s="32"/>
      <c r="H32" s="32"/>
      <c r="I32" s="45"/>
      <c r="J32" s="138">
        <f t="shared" si="0"/>
        <v>0</v>
      </c>
      <c r="K32" s="32">
        <f t="shared" si="1"/>
        <v>0</v>
      </c>
      <c r="L32" s="32">
        <f t="shared" si="2"/>
        <v>0</v>
      </c>
      <c r="M32" s="45">
        <f>IF(SUM(J32:L32)=0,0,SUM(J32:L32)/'Resid Cust Fcst '!BZ33)</f>
        <v>0</v>
      </c>
    </row>
    <row r="33" spans="1:13">
      <c r="A33" s="21" t="s">
        <v>25</v>
      </c>
      <c r="B33" s="138">
        <f>'Sch DR TSM'!R33</f>
        <v>0</v>
      </c>
      <c r="C33" s="32">
        <f>'Sch DR TSM'!S33</f>
        <v>0</v>
      </c>
      <c r="D33" s="32">
        <f>'Sch DR TSM'!T33</f>
        <v>0</v>
      </c>
      <c r="E33" s="45">
        <f>IF(SUM(B33:D33)=0,0,SUM(B33:D33)/'Resid Cust Fcst '!BX34)</f>
        <v>0</v>
      </c>
      <c r="F33" s="138"/>
      <c r="G33" s="32"/>
      <c r="H33" s="32"/>
      <c r="I33" s="45"/>
      <c r="J33" s="138">
        <f t="shared" si="0"/>
        <v>0</v>
      </c>
      <c r="K33" s="32">
        <f t="shared" si="1"/>
        <v>0</v>
      </c>
      <c r="L33" s="32">
        <f t="shared" si="2"/>
        <v>0</v>
      </c>
      <c r="M33" s="45">
        <f>IF(SUM(J33:L33)=0,0,SUM(J33:L33)/'Resid Cust Fcst '!BZ34)</f>
        <v>0</v>
      </c>
    </row>
    <row r="34" spans="1:13">
      <c r="A34" s="21" t="s">
        <v>111</v>
      </c>
      <c r="B34" s="138">
        <f>'Sch DR TSM'!R34</f>
        <v>0</v>
      </c>
      <c r="C34" s="32">
        <f>'Sch DR TSM'!S34</f>
        <v>0</v>
      </c>
      <c r="D34" s="32">
        <f>'Sch DR TSM'!T34</f>
        <v>0</v>
      </c>
      <c r="E34" s="45">
        <f>IF(SUM(B34:D34)=0,0,SUM(B34:D34)/'Resid Cust Fcst '!BX35)</f>
        <v>0</v>
      </c>
      <c r="F34" s="138"/>
      <c r="G34" s="32"/>
      <c r="H34" s="32"/>
      <c r="I34" s="45"/>
      <c r="J34" s="138">
        <f t="shared" si="0"/>
        <v>0</v>
      </c>
      <c r="K34" s="32">
        <f t="shared" si="1"/>
        <v>0</v>
      </c>
      <c r="L34" s="32">
        <f t="shared" si="2"/>
        <v>0</v>
      </c>
      <c r="M34" s="45">
        <f>IF(SUM(J34:L34)=0,0,SUM(J34:L34)/'Resid Cust Fcst '!BZ35)</f>
        <v>0</v>
      </c>
    </row>
    <row r="35" spans="1:13">
      <c r="A35" s="21" t="s">
        <v>112</v>
      </c>
      <c r="B35" s="138">
        <f>'Sch DR TSM'!R35</f>
        <v>0</v>
      </c>
      <c r="C35" s="32">
        <f>'Sch DR TSM'!S35</f>
        <v>0</v>
      </c>
      <c r="D35" s="32">
        <f>'Sch DR TSM'!T35</f>
        <v>0</v>
      </c>
      <c r="E35" s="45">
        <f>IF(SUM(B35:D35)=0,0,SUM(B35:D35)/'Resid Cust Fcst '!BX36)</f>
        <v>0</v>
      </c>
      <c r="F35" s="138"/>
      <c r="G35" s="32"/>
      <c r="H35" s="32"/>
      <c r="I35" s="45"/>
      <c r="J35" s="138">
        <f t="shared" si="0"/>
        <v>0</v>
      </c>
      <c r="K35" s="32">
        <f t="shared" si="1"/>
        <v>0</v>
      </c>
      <c r="L35" s="32">
        <f t="shared" si="2"/>
        <v>0</v>
      </c>
      <c r="M35" s="45">
        <f>IF(SUM(J35:L35)=0,0,SUM(J35:L35)/'Resid Cust Fcst '!BZ36)</f>
        <v>0</v>
      </c>
    </row>
    <row r="36" spans="1:13">
      <c r="A36" s="21" t="s">
        <v>26</v>
      </c>
      <c r="B36" s="138">
        <f>'Sch DR TSM'!R36</f>
        <v>0</v>
      </c>
      <c r="C36" s="32">
        <f>'Sch DR TSM'!S36</f>
        <v>0</v>
      </c>
      <c r="D36" s="32">
        <f>'Sch DR TSM'!T36</f>
        <v>0</v>
      </c>
      <c r="E36" s="45">
        <f>IF(SUM(B36:D36)=0,0,SUM(B36:D36)/'Resid Cust Fcst '!BX37)</f>
        <v>0</v>
      </c>
      <c r="F36" s="138"/>
      <c r="G36" s="32"/>
      <c r="H36" s="32"/>
      <c r="I36" s="45"/>
      <c r="J36" s="138">
        <f t="shared" si="0"/>
        <v>0</v>
      </c>
      <c r="K36" s="32">
        <f t="shared" si="1"/>
        <v>0</v>
      </c>
      <c r="L36" s="32">
        <f t="shared" si="2"/>
        <v>0</v>
      </c>
      <c r="M36" s="45">
        <f>IF(SUM(J36:L36)=0,0,SUM(J36:L36)/'Resid Cust Fcst '!BZ37)</f>
        <v>0</v>
      </c>
    </row>
    <row r="37" spans="1:13">
      <c r="A37" s="21" t="s">
        <v>27</v>
      </c>
      <c r="B37" s="138">
        <f>'Sch DR TSM'!R37</f>
        <v>0</v>
      </c>
      <c r="C37" s="32">
        <f>'Sch DR TSM'!S37</f>
        <v>0</v>
      </c>
      <c r="D37" s="32">
        <f>'Sch DR TSM'!T37</f>
        <v>0</v>
      </c>
      <c r="E37" s="45">
        <f>IF(SUM(B37:D37)=0,0,SUM(B37:D37)/'Resid Cust Fcst '!BX38)</f>
        <v>0</v>
      </c>
      <c r="F37" s="138"/>
      <c r="G37" s="32"/>
      <c r="H37" s="32"/>
      <c r="I37" s="45"/>
      <c r="J37" s="138">
        <f t="shared" si="0"/>
        <v>0</v>
      </c>
      <c r="K37" s="32">
        <f t="shared" si="1"/>
        <v>0</v>
      </c>
      <c r="L37" s="32">
        <f t="shared" si="2"/>
        <v>0</v>
      </c>
      <c r="M37" s="45">
        <f>IF(SUM(J37:L37)=0,0,SUM(J37:L37)/'Resid Cust Fcst '!BZ38)</f>
        <v>0</v>
      </c>
    </row>
    <row r="38" spans="1:13">
      <c r="A38" s="21"/>
      <c r="B38" s="138"/>
      <c r="C38" s="32"/>
      <c r="D38" s="32"/>
      <c r="E38" s="45"/>
      <c r="F38" s="138"/>
      <c r="G38" s="32"/>
      <c r="H38" s="32"/>
      <c r="I38" s="45"/>
      <c r="J38" s="138"/>
      <c r="K38" s="32"/>
      <c r="L38" s="32"/>
      <c r="M38" s="45"/>
    </row>
    <row r="39" spans="1:13">
      <c r="A39" s="29" t="s">
        <v>46</v>
      </c>
      <c r="B39" s="138">
        <f>SUM(B7:B37)/'Resid Cust Fcst '!$BX$40</f>
        <v>1349.6507651389106</v>
      </c>
      <c r="C39" s="32">
        <f>SUM(C7:C37)/'Resid Cust Fcst '!$BX$40</f>
        <v>213.73179817905475</v>
      </c>
      <c r="D39" s="32">
        <f>SUM(D7:D37)/'Resid Cust Fcst '!$BX$40</f>
        <v>195.54777786497777</v>
      </c>
      <c r="E39" s="45">
        <f>SUM(B39:D39)</f>
        <v>1758.9303411829433</v>
      </c>
      <c r="F39" s="138"/>
      <c r="G39" s="32"/>
      <c r="H39" s="32"/>
      <c r="I39" s="45"/>
      <c r="J39" s="138">
        <f>SUM(J7:J37)/'Resid Cust Fcst '!$BZ$40</f>
        <v>1349.6507651389106</v>
      </c>
      <c r="K39" s="32">
        <f>SUM(K7:K37)/'Resid Cust Fcst '!$BZ$40</f>
        <v>213.73179817905475</v>
      </c>
      <c r="L39" s="32">
        <f>SUM(L7:L37)/'Resid Cust Fcst '!$BZ$40</f>
        <v>195.54777786497777</v>
      </c>
      <c r="M39" s="45">
        <f>SUM(J39:L39)</f>
        <v>1758.9303411829433</v>
      </c>
    </row>
    <row r="40" spans="1:13" ht="13.5" thickBot="1">
      <c r="A40" s="15"/>
      <c r="B40" s="15"/>
      <c r="C40" s="28"/>
      <c r="D40" s="28"/>
      <c r="E40" s="17"/>
      <c r="F40" s="15"/>
      <c r="G40" s="28"/>
      <c r="H40" s="28"/>
      <c r="I40" s="17"/>
      <c r="J40" s="15"/>
      <c r="K40" s="28"/>
      <c r="L40" s="28"/>
      <c r="M40" s="17"/>
    </row>
    <row r="41" spans="1:13">
      <c r="E41" s="18"/>
    </row>
    <row r="43" spans="1:13">
      <c r="A43" t="s">
        <v>3</v>
      </c>
      <c r="J43" s="18"/>
    </row>
    <row r="51" spans="1:4">
      <c r="A51" s="19"/>
      <c r="B51" s="19"/>
      <c r="C51" s="19"/>
      <c r="D51" s="19"/>
    </row>
    <row r="63" spans="1:4">
      <c r="A63" s="19"/>
      <c r="B63" s="19"/>
      <c r="C63" s="19"/>
      <c r="D63" s="19"/>
    </row>
  </sheetData>
  <mergeCells count="4">
    <mergeCell ref="B2:E2"/>
    <mergeCell ref="F2:I2"/>
    <mergeCell ref="J2:M2"/>
    <mergeCell ref="A1:M1"/>
  </mergeCells>
  <phoneticPr fontId="0" type="noConversion"/>
  <printOptions horizontalCentered="1"/>
  <pageMargins left="0.75" right="0.75" top="1" bottom="1" header="0.5" footer="0.5"/>
  <pageSetup scale="54" orientation="portrait" r:id="rId1"/>
  <headerFooter alignWithMargins="0">
    <oddFooter>&amp;L&amp;F
&amp;A&amp;R&amp;P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rgb="FFC00000"/>
    <pageSetUpPr fitToPage="1"/>
  </sheetPr>
  <dimension ref="A1:N59"/>
  <sheetViews>
    <sheetView zoomScaleNormal="100" workbookViewId="0">
      <selection activeCell="A27" sqref="A27"/>
    </sheetView>
  </sheetViews>
  <sheetFormatPr defaultRowHeight="12.75"/>
  <cols>
    <col min="1" max="1" width="40.7109375" customWidth="1"/>
    <col min="2" max="12" width="10.28515625" customWidth="1"/>
    <col min="13" max="13" width="15" bestFit="1" customWidth="1"/>
  </cols>
  <sheetData>
    <row r="1" spans="1:13" ht="18.75" thickBot="1">
      <c r="A1" s="756" t="s">
        <v>96</v>
      </c>
      <c r="B1" s="756"/>
      <c r="C1" s="756"/>
      <c r="D1" s="756"/>
      <c r="E1" s="756"/>
      <c r="F1" s="756"/>
      <c r="G1" s="756"/>
      <c r="H1" s="756"/>
      <c r="I1" s="756"/>
      <c r="J1" s="756"/>
      <c r="K1" s="756"/>
      <c r="L1" s="756"/>
    </row>
    <row r="2" spans="1:13">
      <c r="A2" s="698"/>
      <c r="B2" s="696"/>
      <c r="C2" s="696"/>
      <c r="D2" s="696"/>
      <c r="E2" s="696"/>
      <c r="F2" s="696"/>
      <c r="G2" s="696"/>
      <c r="H2" s="696"/>
      <c r="I2" s="696"/>
      <c r="J2" s="696"/>
      <c r="K2" s="696"/>
      <c r="L2" s="697"/>
    </row>
    <row r="3" spans="1:13" ht="13.5" thickBot="1">
      <c r="A3" s="699" t="s">
        <v>47</v>
      </c>
      <c r="B3" s="700" t="s">
        <v>28</v>
      </c>
      <c r="C3" s="700" t="s">
        <v>29</v>
      </c>
      <c r="D3" s="700" t="s">
        <v>30</v>
      </c>
      <c r="E3" s="700" t="s">
        <v>31</v>
      </c>
      <c r="F3" s="700" t="s">
        <v>69</v>
      </c>
      <c r="G3" s="700" t="s">
        <v>67</v>
      </c>
      <c r="H3" s="700" t="s">
        <v>327</v>
      </c>
      <c r="I3" s="700" t="s">
        <v>68</v>
      </c>
      <c r="J3" s="700" t="s">
        <v>94</v>
      </c>
      <c r="K3" s="700" t="s">
        <v>93</v>
      </c>
      <c r="L3" s="701" t="s">
        <v>48</v>
      </c>
    </row>
    <row r="4" spans="1:13">
      <c r="A4" s="35"/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13">
      <c r="A5" s="36"/>
      <c r="B5" s="8"/>
      <c r="C5" s="8"/>
      <c r="D5" s="8"/>
      <c r="E5" s="8"/>
      <c r="F5" s="8"/>
      <c r="G5" s="8"/>
      <c r="H5" s="8"/>
      <c r="I5" s="8"/>
      <c r="J5" s="8"/>
      <c r="K5" s="8"/>
      <c r="L5" s="9"/>
    </row>
    <row r="6" spans="1:13">
      <c r="A6" s="36" t="s">
        <v>49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40"/>
    </row>
    <row r="7" spans="1:13">
      <c r="A7" s="37"/>
      <c r="B7" s="30"/>
      <c r="C7" s="30"/>
      <c r="D7" s="30"/>
      <c r="E7" s="30"/>
      <c r="F7" s="30"/>
      <c r="G7" s="30"/>
      <c r="H7" s="30"/>
      <c r="I7" s="30"/>
      <c r="J7" s="30"/>
      <c r="K7" s="30"/>
      <c r="L7" s="40"/>
      <c r="M7" s="278" t="s">
        <v>91</v>
      </c>
    </row>
    <row r="8" spans="1:13">
      <c r="A8" s="36" t="s">
        <v>53</v>
      </c>
      <c r="B8" s="134">
        <f>'Sch DR TSM'!Z39</f>
        <v>1349.6507651389106</v>
      </c>
      <c r="C8" s="33"/>
      <c r="D8" s="33"/>
      <c r="E8" s="33"/>
      <c r="F8" s="33"/>
      <c r="G8" s="134"/>
      <c r="H8" s="134"/>
      <c r="I8" s="33"/>
      <c r="J8" s="33"/>
      <c r="K8" s="33"/>
      <c r="L8" s="44">
        <f>'Resid TSM Summary'!J39</f>
        <v>1349.6507651389106</v>
      </c>
      <c r="M8" s="279">
        <f>(B8*'Resid Cust Fcst '!$H$40+C8*'Resid Cust Fcst '!$O$40+D8*'Resid Cust Fcst '!$V$40+E8*'Resid Cust Fcst '!$AC$40+F8*'Resid Cust Fcst '!$AJ$40+G8*'Resid Cust Fcst '!$AQ$40+H8*'Resid Cust Fcst '!$AX$40+I8*'Resid Cust Fcst '!$BE$40+J8*'Resid Cust Fcst '!$BL$40+K8*'Resid Cust Fcst '!$BS$40)/'Resid Cust Fcst '!$BZ$40-L8</f>
        <v>0</v>
      </c>
    </row>
    <row r="9" spans="1:13">
      <c r="A9" s="36" t="s">
        <v>51</v>
      </c>
      <c r="B9" s="134">
        <f>'Sch DR TSM'!AA39</f>
        <v>213.73179817905475</v>
      </c>
      <c r="C9" s="33"/>
      <c r="D9" s="33"/>
      <c r="E9" s="33"/>
      <c r="F9" s="33"/>
      <c r="G9" s="134"/>
      <c r="H9" s="134"/>
      <c r="I9" s="33"/>
      <c r="J9" s="33"/>
      <c r="K9" s="33"/>
      <c r="L9" s="44">
        <f>'Resid TSM Summary'!K39</f>
        <v>213.73179817905475</v>
      </c>
      <c r="M9" s="279">
        <f>(B9*'Resid Cust Fcst '!$H$40+C9*'Resid Cust Fcst '!$O$40+D9*'Resid Cust Fcst '!$V$40+E9*'Resid Cust Fcst '!$AC$40+F9*'Resid Cust Fcst '!$AJ$40+G9*'Resid Cust Fcst '!$AQ$40+H9*'Resid Cust Fcst '!$AX$40+I9*'Resid Cust Fcst '!$BE$40+J9*'Resid Cust Fcst '!$BL$40+K9*'Resid Cust Fcst '!$BS$40)/'Resid Cust Fcst '!$BZ$40-L9</f>
        <v>0</v>
      </c>
    </row>
    <row r="10" spans="1:13">
      <c r="A10" s="36" t="s">
        <v>52</v>
      </c>
      <c r="B10" s="134">
        <f>'Sch DR TSM'!AB39</f>
        <v>195.54777786497777</v>
      </c>
      <c r="C10" s="33"/>
      <c r="D10" s="33"/>
      <c r="E10" s="33"/>
      <c r="F10" s="33"/>
      <c r="G10" s="134"/>
      <c r="H10" s="134"/>
      <c r="I10" s="33"/>
      <c r="J10" s="33"/>
      <c r="K10" s="33"/>
      <c r="L10" s="44">
        <f>'Resid TSM Summary'!L39</f>
        <v>195.54777786497777</v>
      </c>
      <c r="M10" s="279">
        <f>(B10*'Resid Cust Fcst '!$H$40+C10*'Resid Cust Fcst '!$O$40+D10*'Resid Cust Fcst '!$V$40+E10*'Resid Cust Fcst '!$AC$40+F10*'Resid Cust Fcst '!$AJ$40+G10*'Resid Cust Fcst '!$AQ$40+H10*'Resid Cust Fcst '!$AX$40+I10*'Resid Cust Fcst '!$BE$40+J10*'Resid Cust Fcst '!$BL$40+K10*'Resid Cust Fcst '!$BS$40)/'Resid Cust Fcst '!$BZ$40-L10</f>
        <v>0</v>
      </c>
    </row>
    <row r="11" spans="1:13">
      <c r="A11" s="38"/>
      <c r="B11" s="134"/>
      <c r="C11" s="134"/>
      <c r="D11" s="134"/>
      <c r="E11" s="134"/>
      <c r="F11" s="134"/>
      <c r="G11" s="312"/>
      <c r="H11" s="312"/>
      <c r="I11" s="312"/>
      <c r="J11" s="134"/>
      <c r="K11" s="134"/>
      <c r="L11" s="44"/>
      <c r="M11" s="279"/>
    </row>
    <row r="12" spans="1:13">
      <c r="A12" s="36" t="s">
        <v>35</v>
      </c>
      <c r="B12" s="134">
        <f t="shared" ref="B12:L12" si="0">SUM(B8:B10)</f>
        <v>1758.9303411829433</v>
      </c>
      <c r="C12" s="134"/>
      <c r="D12" s="134"/>
      <c r="E12" s="134"/>
      <c r="F12" s="134"/>
      <c r="G12" s="134"/>
      <c r="H12" s="134"/>
      <c r="I12" s="134"/>
      <c r="J12" s="134"/>
      <c r="K12" s="134"/>
      <c r="L12" s="44">
        <f t="shared" si="0"/>
        <v>1758.9303411829433</v>
      </c>
      <c r="M12" s="279">
        <f>(B12*'Resid Cust Fcst '!$H$40+C12*'Resid Cust Fcst '!$O$40+D12*'Resid Cust Fcst '!$V$40+E12*'Resid Cust Fcst '!$AC$40+F12*'Resid Cust Fcst '!$AJ$40+G12*'Resid Cust Fcst '!$AQ$40+H12*'Resid Cust Fcst '!$AX$40+I12*'Resid Cust Fcst '!$BE$40+J12*'Resid Cust Fcst '!$BL$40+K12*'Resid Cust Fcst '!$BS$40)/'Resid Cust Fcst '!$BZ$40-L12</f>
        <v>0</v>
      </c>
    </row>
    <row r="13" spans="1:13">
      <c r="A13" s="3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40"/>
    </row>
    <row r="14" spans="1:13">
      <c r="A14" s="36" t="s">
        <v>61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40"/>
    </row>
    <row r="15" spans="1:13">
      <c r="A15" s="47">
        <f>Inputs!C3</f>
        <v>2.7723662892949787E-2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40"/>
    </row>
    <row r="16" spans="1:13">
      <c r="A16" s="36" t="s">
        <v>60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40"/>
    </row>
    <row r="17" spans="1:12">
      <c r="A17" s="47">
        <f>Inputs!C4</f>
        <v>1.5023E-2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40"/>
    </row>
    <row r="18" spans="1:12">
      <c r="A18" s="38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40"/>
    </row>
    <row r="19" spans="1:12">
      <c r="A19" s="94" t="s">
        <v>97</v>
      </c>
      <c r="B19" s="30">
        <f t="shared" ref="B19:L21" si="1">(B8*(1+$A$15)*(1+$A$17))</f>
        <v>1407.9059509590995</v>
      </c>
      <c r="C19" s="30"/>
      <c r="D19" s="30"/>
      <c r="E19" s="30"/>
      <c r="F19" s="30"/>
      <c r="G19" s="30"/>
      <c r="H19" s="30"/>
      <c r="I19" s="30"/>
      <c r="J19" s="30"/>
      <c r="K19" s="30"/>
      <c r="L19" s="40">
        <f t="shared" si="1"/>
        <v>1407.9059509590995</v>
      </c>
    </row>
    <row r="20" spans="1:12">
      <c r="A20" s="94" t="s">
        <v>51</v>
      </c>
      <c r="B20" s="30">
        <f t="shared" si="1"/>
        <v>222.9571370150035</v>
      </c>
      <c r="C20" s="30"/>
      <c r="D20" s="30"/>
      <c r="E20" s="30"/>
      <c r="F20" s="30"/>
      <c r="G20" s="30"/>
      <c r="H20" s="30"/>
      <c r="I20" s="30"/>
      <c r="J20" s="30"/>
      <c r="K20" s="30"/>
      <c r="L20" s="40">
        <f t="shared" si="1"/>
        <v>222.9571370150035</v>
      </c>
    </row>
    <row r="21" spans="1:12">
      <c r="A21" s="94" t="s">
        <v>52</v>
      </c>
      <c r="B21" s="30">
        <f t="shared" si="1"/>
        <v>203.9882370048478</v>
      </c>
      <c r="C21" s="30"/>
      <c r="D21" s="30"/>
      <c r="E21" s="30"/>
      <c r="F21" s="30"/>
      <c r="G21" s="30"/>
      <c r="H21" s="30"/>
      <c r="I21" s="30"/>
      <c r="J21" s="30"/>
      <c r="K21" s="30"/>
      <c r="L21" s="40">
        <f t="shared" si="1"/>
        <v>203.9882370048478</v>
      </c>
    </row>
    <row r="22" spans="1:12">
      <c r="A22" s="38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40"/>
    </row>
    <row r="23" spans="1:12">
      <c r="A23" s="36" t="s">
        <v>35</v>
      </c>
      <c r="B23" s="30">
        <f>SUM(B19:B21)</f>
        <v>1834.851324978951</v>
      </c>
      <c r="C23" s="30"/>
      <c r="D23" s="30"/>
      <c r="E23" s="30"/>
      <c r="F23" s="30"/>
      <c r="G23" s="30"/>
      <c r="H23" s="30"/>
      <c r="I23" s="30"/>
      <c r="J23" s="30"/>
      <c r="K23" s="30"/>
      <c r="L23" s="40">
        <f>SUM(L19:L21)</f>
        <v>1834.851324978951</v>
      </c>
    </row>
    <row r="24" spans="1:12">
      <c r="A24" s="36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40"/>
    </row>
    <row r="25" spans="1:12">
      <c r="A25" s="719" t="s">
        <v>471</v>
      </c>
      <c r="B25" s="73">
        <f>B19*Inputs!$C$5</f>
        <v>113.30638790618549</v>
      </c>
      <c r="C25" s="73"/>
      <c r="D25" s="73"/>
      <c r="E25" s="73"/>
      <c r="F25" s="73"/>
      <c r="G25" s="73"/>
      <c r="H25" s="73"/>
      <c r="I25" s="73"/>
      <c r="J25" s="73"/>
      <c r="K25" s="73"/>
      <c r="L25" s="75">
        <f>L19*Inputs!$C$5</f>
        <v>113.30638790618549</v>
      </c>
    </row>
    <row r="26" spans="1:12">
      <c r="A26" s="719" t="s">
        <v>472</v>
      </c>
      <c r="B26" s="73">
        <f>B20*Inputs!$C$6</f>
        <v>15.779804736674421</v>
      </c>
      <c r="C26" s="73"/>
      <c r="D26" s="73"/>
      <c r="E26" s="73"/>
      <c r="F26" s="73"/>
      <c r="G26" s="73"/>
      <c r="H26" s="73"/>
      <c r="I26" s="73"/>
      <c r="J26" s="73"/>
      <c r="K26" s="73"/>
      <c r="L26" s="75">
        <f>L20*Inputs!$C$6</f>
        <v>15.779804736674421</v>
      </c>
    </row>
    <row r="27" spans="1:12" ht="15">
      <c r="A27" s="719" t="s">
        <v>473</v>
      </c>
      <c r="B27" s="464">
        <f>B21*Inputs!$C$7</f>
        <v>21.983088010462748</v>
      </c>
      <c r="C27" s="464"/>
      <c r="D27" s="464"/>
      <c r="E27" s="464"/>
      <c r="F27" s="464"/>
      <c r="G27" s="464"/>
      <c r="H27" s="464"/>
      <c r="I27" s="464"/>
      <c r="J27" s="464"/>
      <c r="K27" s="464"/>
      <c r="L27" s="463">
        <f>L21*Inputs!$C$7</f>
        <v>21.983088010462748</v>
      </c>
    </row>
    <row r="28" spans="1:12">
      <c r="A28" s="86" t="s">
        <v>312</v>
      </c>
      <c r="B28" s="73">
        <f>SUM(B25:B27)</f>
        <v>151.06928065332266</v>
      </c>
      <c r="C28" s="73"/>
      <c r="D28" s="73"/>
      <c r="E28" s="73"/>
      <c r="F28" s="73"/>
      <c r="G28" s="73"/>
      <c r="H28" s="73"/>
      <c r="I28" s="73"/>
      <c r="J28" s="73"/>
      <c r="K28" s="73"/>
      <c r="L28" s="75">
        <f t="shared" ref="L28" si="2">SUM(L25:L27)</f>
        <v>151.06928065332266</v>
      </c>
    </row>
    <row r="29" spans="1:12">
      <c r="A29" s="47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40"/>
    </row>
    <row r="30" spans="1:12">
      <c r="A30" s="36" t="s">
        <v>50</v>
      </c>
      <c r="B30" s="30">
        <f>'Distribution O&amp;M Allocations'!B20</f>
        <v>47.756329591868941</v>
      </c>
      <c r="C30" s="30"/>
      <c r="D30" s="30"/>
      <c r="E30" s="30"/>
      <c r="F30" s="30"/>
      <c r="G30" s="30"/>
      <c r="H30" s="30"/>
      <c r="I30" s="30"/>
      <c r="J30" s="30"/>
      <c r="K30" s="30"/>
      <c r="L30" s="40">
        <f>'Distribution O&amp;M Allocations'!L20</f>
        <v>47.756329591868941</v>
      </c>
    </row>
    <row r="31" spans="1:12">
      <c r="A31" s="11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40"/>
    </row>
    <row r="32" spans="1:12">
      <c r="A32" s="36" t="s">
        <v>57</v>
      </c>
      <c r="B32" s="616">
        <v>26.486575578273055</v>
      </c>
      <c r="C32" s="30"/>
      <c r="D32" s="30"/>
      <c r="E32" s="30"/>
      <c r="F32" s="30"/>
      <c r="G32" s="30"/>
      <c r="H32" s="30"/>
      <c r="I32" s="30"/>
      <c r="J32" s="30"/>
      <c r="K32" s="30"/>
      <c r="L32" s="40">
        <f>(B32*'Resid Cust Fcst '!$H$40+H32*'Resid Cust Fcst '!$AX$40)/'Resid Cust Fcst '!$BZ$40</f>
        <v>26.486575578273055</v>
      </c>
    </row>
    <row r="33" spans="1:14">
      <c r="A33" s="11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40"/>
    </row>
    <row r="34" spans="1:14">
      <c r="A34" s="36" t="s">
        <v>85</v>
      </c>
      <c r="B34" s="30">
        <f t="shared" ref="B34:L34" si="3">B28+B30+B32</f>
        <v>225.31218582346466</v>
      </c>
      <c r="C34" s="30"/>
      <c r="D34" s="30"/>
      <c r="E34" s="30"/>
      <c r="F34" s="30"/>
      <c r="G34" s="30"/>
      <c r="H34" s="30"/>
      <c r="I34" s="30"/>
      <c r="J34" s="30"/>
      <c r="K34" s="30"/>
      <c r="L34" s="40">
        <f t="shared" si="3"/>
        <v>225.31218582346466</v>
      </c>
      <c r="N34" s="31"/>
    </row>
    <row r="35" spans="1:14" ht="13.5" thickBot="1">
      <c r="A35" s="15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8"/>
    </row>
    <row r="36" spans="1:14">
      <c r="A36" s="85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4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458"/>
    </row>
    <row r="39" spans="1:14">
      <c r="A39" t="s">
        <v>3</v>
      </c>
    </row>
    <row r="47" spans="1:14">
      <c r="A47" s="19"/>
    </row>
    <row r="59" spans="1:1">
      <c r="A59" s="19"/>
    </row>
  </sheetData>
  <mergeCells count="1">
    <mergeCell ref="A1:L1"/>
  </mergeCells>
  <phoneticPr fontId="0" type="noConversion"/>
  <printOptions horizontalCentered="1"/>
  <pageMargins left="0.75" right="0.75" top="1" bottom="1" header="0.5" footer="0.5"/>
  <pageSetup scale="69" orientation="portrait" r:id="rId1"/>
  <headerFooter alignWithMargins="0">
    <oddFooter>&amp;L&amp;F
&amp;A&amp;R&amp;P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>
    <tabColor rgb="FFC00000"/>
    <pageSetUpPr fitToPage="1"/>
  </sheetPr>
  <dimension ref="A1:N61"/>
  <sheetViews>
    <sheetView topLeftCell="A26" zoomScaleNormal="100" workbookViewId="0">
      <selection activeCell="B34" sqref="B34"/>
    </sheetView>
  </sheetViews>
  <sheetFormatPr defaultRowHeight="12.75"/>
  <cols>
    <col min="1" max="1" width="40.7109375" customWidth="1"/>
    <col min="2" max="12" width="10.28515625" customWidth="1"/>
    <col min="13" max="13" width="15" bestFit="1" customWidth="1"/>
  </cols>
  <sheetData>
    <row r="1" spans="1:14" ht="18.75" thickBot="1">
      <c r="A1" s="756" t="s">
        <v>337</v>
      </c>
      <c r="B1" s="756"/>
      <c r="C1" s="756"/>
      <c r="D1" s="756"/>
      <c r="E1" s="756"/>
      <c r="F1" s="756"/>
      <c r="G1" s="756"/>
      <c r="H1" s="756"/>
      <c r="I1" s="756"/>
      <c r="J1" s="756"/>
      <c r="K1" s="756"/>
      <c r="L1" s="756"/>
    </row>
    <row r="2" spans="1:14">
      <c r="A2" s="565"/>
      <c r="B2" s="563"/>
      <c r="C2" s="563"/>
      <c r="D2" s="563"/>
      <c r="E2" s="563"/>
      <c r="F2" s="563"/>
      <c r="G2" s="563"/>
      <c r="H2" s="563"/>
      <c r="I2" s="563"/>
      <c r="J2" s="563"/>
      <c r="K2" s="563"/>
      <c r="L2" s="564"/>
    </row>
    <row r="3" spans="1:14" ht="13.5" thickBot="1">
      <c r="A3" s="566" t="s">
        <v>47</v>
      </c>
      <c r="B3" s="567" t="s">
        <v>28</v>
      </c>
      <c r="C3" s="567" t="s">
        <v>29</v>
      </c>
      <c r="D3" s="567" t="s">
        <v>30</v>
      </c>
      <c r="E3" s="567" t="s">
        <v>31</v>
      </c>
      <c r="F3" s="567" t="s">
        <v>69</v>
      </c>
      <c r="G3" s="567" t="s">
        <v>67</v>
      </c>
      <c r="H3" s="567" t="s">
        <v>327</v>
      </c>
      <c r="I3" s="567" t="s">
        <v>68</v>
      </c>
      <c r="J3" s="567" t="s">
        <v>94</v>
      </c>
      <c r="K3" s="567" t="s">
        <v>93</v>
      </c>
      <c r="L3" s="568" t="s">
        <v>48</v>
      </c>
    </row>
    <row r="4" spans="1:14">
      <c r="A4" s="35"/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14">
      <c r="A5" s="36"/>
      <c r="B5" s="8"/>
      <c r="C5" s="8"/>
      <c r="D5" s="8"/>
      <c r="E5" s="8"/>
      <c r="F5" s="8"/>
      <c r="G5" s="8"/>
      <c r="H5" s="8"/>
      <c r="I5" s="8"/>
      <c r="J5" s="8"/>
      <c r="K5" s="8"/>
      <c r="L5" s="9"/>
    </row>
    <row r="6" spans="1:14">
      <c r="A6" s="36" t="s">
        <v>49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40"/>
    </row>
    <row r="7" spans="1:14">
      <c r="A7" s="37"/>
      <c r="B7" s="30"/>
      <c r="C7" s="30"/>
      <c r="D7" s="30"/>
      <c r="E7" s="30"/>
      <c r="F7" s="30"/>
      <c r="G7" s="30"/>
      <c r="H7" s="30"/>
      <c r="I7" s="30"/>
      <c r="J7" s="30"/>
      <c r="K7" s="30"/>
      <c r="L7" s="40"/>
      <c r="M7" s="278" t="s">
        <v>91</v>
      </c>
    </row>
    <row r="8" spans="1:14">
      <c r="A8" s="36" t="s">
        <v>53</v>
      </c>
      <c r="B8" s="134">
        <f>'Resid TSM Sum by Rate Schedule'!B8*Inputs!$C$12</f>
        <v>1464.5655162551914</v>
      </c>
      <c r="C8" s="134"/>
      <c r="D8" s="134"/>
      <c r="E8" s="134"/>
      <c r="F8" s="134"/>
      <c r="G8" s="134"/>
      <c r="H8" s="134"/>
      <c r="I8" s="134"/>
      <c r="J8" s="134"/>
      <c r="K8" s="134"/>
      <c r="L8" s="44">
        <f>'Resid TSM Sum by Rate Schedule'!L8*Inputs!$C$12</f>
        <v>1464.5655162551914</v>
      </c>
      <c r="M8" s="279">
        <f>(B8*'Resid Cust Fcst '!$H$40+C8*'Resid Cust Fcst '!$O$40+D8*'Resid Cust Fcst '!$V$40+E8*'Resid Cust Fcst '!$AC$40+F8*'Resid Cust Fcst '!$AJ$40+G8*'Resid Cust Fcst '!$AQ$40+H8*'Resid Cust Fcst '!$AX$40+I8*'Resid Cust Fcst '!$BE$40+J8*'Resid Cust Fcst '!$BL$40+K8*'Resid Cust Fcst '!$BS$40)/'Resid Cust Fcst '!$BZ$40-L8</f>
        <v>0</v>
      </c>
      <c r="N8" s="398"/>
    </row>
    <row r="9" spans="1:14">
      <c r="A9" s="36" t="s">
        <v>51</v>
      </c>
      <c r="B9" s="134">
        <f>'Resid TSM Sum by Rate Schedule'!B9*Inputs!$C$12</f>
        <v>231.92979208072407</v>
      </c>
      <c r="C9" s="134"/>
      <c r="D9" s="134"/>
      <c r="E9" s="134"/>
      <c r="F9" s="134"/>
      <c r="G9" s="134"/>
      <c r="H9" s="134"/>
      <c r="I9" s="134"/>
      <c r="J9" s="134"/>
      <c r="K9" s="134"/>
      <c r="L9" s="44">
        <f>'Resid TSM Sum by Rate Schedule'!L9*Inputs!$C$12</f>
        <v>231.92979208072407</v>
      </c>
      <c r="M9" s="279">
        <f>(B9*'Resid Cust Fcst '!$H$40+C9*'Resid Cust Fcst '!$O$40+D9*'Resid Cust Fcst '!$V$40+E9*'Resid Cust Fcst '!$AC$40+F9*'Resid Cust Fcst '!$AJ$40+G9*'Resid Cust Fcst '!$AQ$40+H9*'Resid Cust Fcst '!$AX$40+I9*'Resid Cust Fcst '!$BE$40+J9*'Resid Cust Fcst '!$BL$40+K9*'Resid Cust Fcst '!$BS$40)/'Resid Cust Fcst '!$BZ$40-L9</f>
        <v>0</v>
      </c>
      <c r="N9" s="398"/>
    </row>
    <row r="10" spans="1:14">
      <c r="A10" s="36" t="s">
        <v>52</v>
      </c>
      <c r="B10" s="134">
        <f>'Resid TSM Sum by Rate Schedule'!B10*Inputs!$C$12</f>
        <v>212.1975103773606</v>
      </c>
      <c r="C10" s="134"/>
      <c r="D10" s="134"/>
      <c r="E10" s="134"/>
      <c r="F10" s="134"/>
      <c r="G10" s="134"/>
      <c r="H10" s="134"/>
      <c r="I10" s="134"/>
      <c r="J10" s="134"/>
      <c r="K10" s="134"/>
      <c r="L10" s="44">
        <f>'Resid TSM Sum by Rate Schedule'!L10*Inputs!$C$12</f>
        <v>212.1975103773606</v>
      </c>
      <c r="M10" s="279">
        <f>(B10*'Resid Cust Fcst '!$H$40+C10*'Resid Cust Fcst '!$O$40+D10*'Resid Cust Fcst '!$V$40+E10*'Resid Cust Fcst '!$AC$40+F10*'Resid Cust Fcst '!$AJ$40+G10*'Resid Cust Fcst '!$AQ$40+H10*'Resid Cust Fcst '!$AX$40+I10*'Resid Cust Fcst '!$BE$40+J10*'Resid Cust Fcst '!$BL$40+K10*'Resid Cust Fcst '!$BS$40)/'Resid Cust Fcst '!$BZ$40-L10</f>
        <v>0</v>
      </c>
      <c r="N10" s="398"/>
    </row>
    <row r="11" spans="1:14">
      <c r="A11" s="38"/>
      <c r="B11" s="134"/>
      <c r="C11" s="134"/>
      <c r="D11" s="134"/>
      <c r="E11" s="134"/>
      <c r="F11" s="134"/>
      <c r="G11" s="312"/>
      <c r="H11" s="312"/>
      <c r="I11" s="312"/>
      <c r="J11" s="134"/>
      <c r="K11" s="134"/>
      <c r="L11" s="44"/>
      <c r="M11" s="279"/>
    </row>
    <row r="12" spans="1:14">
      <c r="A12" s="36" t="s">
        <v>35</v>
      </c>
      <c r="B12" s="134">
        <f t="shared" ref="B12:L12" si="0">SUM(B8:B10)</f>
        <v>1908.6928187132762</v>
      </c>
      <c r="C12" s="134"/>
      <c r="D12" s="134"/>
      <c r="E12" s="134"/>
      <c r="F12" s="134"/>
      <c r="G12" s="134"/>
      <c r="H12" s="134"/>
      <c r="I12" s="134"/>
      <c r="J12" s="134"/>
      <c r="K12" s="134"/>
      <c r="L12" s="44">
        <f t="shared" si="0"/>
        <v>1908.6928187132762</v>
      </c>
      <c r="M12" s="279">
        <f>(B12*'Resid Cust Fcst '!$H$40+C12*'Resid Cust Fcst '!$O$40+D12*'Resid Cust Fcst '!$V$40+E12*'Resid Cust Fcst '!$AC$40+F12*'Resid Cust Fcst '!$AJ$40+G12*'Resid Cust Fcst '!$AQ$40+H12*'Resid Cust Fcst '!$AX$40+I12*'Resid Cust Fcst '!$BE$40+J12*'Resid Cust Fcst '!$BL$40+K12*'Resid Cust Fcst '!$BS$40)/'Resid Cust Fcst '!$BZ$40-L12</f>
        <v>0</v>
      </c>
    </row>
    <row r="13" spans="1:14">
      <c r="A13" s="3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40"/>
    </row>
    <row r="14" spans="1:14">
      <c r="A14" s="36" t="s">
        <v>61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40"/>
    </row>
    <row r="15" spans="1:14">
      <c r="A15" s="47">
        <f>Inputs!C3</f>
        <v>2.7723662892949787E-2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40"/>
    </row>
    <row r="16" spans="1:14">
      <c r="A16" s="36" t="s">
        <v>60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40"/>
    </row>
    <row r="17" spans="1:13">
      <c r="A17" s="47">
        <f>Inputs!C4</f>
        <v>1.5023E-2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40"/>
    </row>
    <row r="18" spans="1:13">
      <c r="A18" s="38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40"/>
    </row>
    <row r="19" spans="1:13">
      <c r="A19" s="94" t="s">
        <v>97</v>
      </c>
      <c r="B19" s="30">
        <f t="shared" ref="B19:L21" si="1">(B8*(1+$A$15)*(1+$A$17))</f>
        <v>1527.7807853448257</v>
      </c>
      <c r="C19" s="30"/>
      <c r="D19" s="30"/>
      <c r="E19" s="30"/>
      <c r="F19" s="30"/>
      <c r="G19" s="30"/>
      <c r="H19" s="30"/>
      <c r="I19" s="30"/>
      <c r="J19" s="30"/>
      <c r="K19" s="30"/>
      <c r="L19" s="40">
        <f t="shared" si="1"/>
        <v>1527.7807853448257</v>
      </c>
    </row>
    <row r="20" spans="1:13">
      <c r="A20" s="94" t="s">
        <v>51</v>
      </c>
      <c r="B20" s="30">
        <f t="shared" si="1"/>
        <v>241.9406137568854</v>
      </c>
      <c r="C20" s="30"/>
      <c r="D20" s="30"/>
      <c r="E20" s="30"/>
      <c r="F20" s="30"/>
      <c r="G20" s="30"/>
      <c r="H20" s="30"/>
      <c r="I20" s="30"/>
      <c r="J20" s="30"/>
      <c r="K20" s="30"/>
      <c r="L20" s="40">
        <f t="shared" si="1"/>
        <v>241.9406137568854</v>
      </c>
    </row>
    <row r="21" spans="1:13">
      <c r="A21" s="94" t="s">
        <v>52</v>
      </c>
      <c r="B21" s="30">
        <f t="shared" si="1"/>
        <v>221.35662451037285</v>
      </c>
      <c r="C21" s="30"/>
      <c r="D21" s="30"/>
      <c r="E21" s="30"/>
      <c r="F21" s="30"/>
      <c r="G21" s="30"/>
      <c r="H21" s="30"/>
      <c r="I21" s="30"/>
      <c r="J21" s="30"/>
      <c r="K21" s="30"/>
      <c r="L21" s="40">
        <f t="shared" si="1"/>
        <v>221.35662451037285</v>
      </c>
    </row>
    <row r="22" spans="1:13">
      <c r="A22" s="38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40"/>
    </row>
    <row r="23" spans="1:13">
      <c r="A23" s="36" t="s">
        <v>35</v>
      </c>
      <c r="B23" s="30">
        <f>SUM(B19:B21)</f>
        <v>1991.0780236120841</v>
      </c>
      <c r="C23" s="30"/>
      <c r="D23" s="30"/>
      <c r="E23" s="30"/>
      <c r="F23" s="30"/>
      <c r="G23" s="30"/>
      <c r="H23" s="30"/>
      <c r="I23" s="30"/>
      <c r="J23" s="30"/>
      <c r="K23" s="30"/>
      <c r="L23" s="40">
        <f>SUM(L19:L21)</f>
        <v>1991.0780236120841</v>
      </c>
    </row>
    <row r="24" spans="1:13">
      <c r="A24" s="36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40"/>
    </row>
    <row r="25" spans="1:13">
      <c r="A25" s="94" t="str">
        <f>'Resid TSM Sum by Rate Schedule'!A25</f>
        <v>Annualized Transformer Cost at 8.05%</v>
      </c>
      <c r="B25" s="73">
        <f>B19*Inputs!$C$5</f>
        <v>122.95375424897711</v>
      </c>
      <c r="C25" s="73"/>
      <c r="D25" s="73"/>
      <c r="E25" s="73"/>
      <c r="F25" s="73"/>
      <c r="G25" s="73"/>
      <c r="H25" s="73"/>
      <c r="I25" s="73"/>
      <c r="J25" s="73"/>
      <c r="K25" s="73"/>
      <c r="L25" s="75">
        <f>L19*Inputs!$C$5</f>
        <v>122.95375424897711</v>
      </c>
    </row>
    <row r="26" spans="1:13">
      <c r="A26" s="94" t="str">
        <f>'Resid TSM Sum by Rate Schedule'!A26</f>
        <v>Annualized Services Cost at 7.08%</v>
      </c>
      <c r="B26" s="73">
        <f>B20*Inputs!$C$6</f>
        <v>17.12336144098364</v>
      </c>
      <c r="C26" s="73"/>
      <c r="D26" s="73"/>
      <c r="E26" s="73"/>
      <c r="F26" s="73"/>
      <c r="G26" s="73"/>
      <c r="H26" s="73"/>
      <c r="I26" s="73"/>
      <c r="J26" s="73"/>
      <c r="K26" s="73"/>
      <c r="L26" s="75">
        <f>L20*Inputs!$C$6</f>
        <v>17.12336144098364</v>
      </c>
    </row>
    <row r="27" spans="1:13" ht="15">
      <c r="A27" s="94" t="str">
        <f>'Resid TSM Sum by Rate Schedule'!A27</f>
        <v>Annualized Meter Cost at 10.78%</v>
      </c>
      <c r="B27" s="464">
        <f>B21*Inputs!$C$7</f>
        <v>23.854817462807127</v>
      </c>
      <c r="C27" s="464"/>
      <c r="D27" s="464"/>
      <c r="E27" s="464"/>
      <c r="F27" s="464"/>
      <c r="G27" s="464"/>
      <c r="H27" s="464"/>
      <c r="I27" s="464"/>
      <c r="J27" s="464"/>
      <c r="K27" s="464"/>
      <c r="L27" s="463">
        <f>L21*Inputs!$C$7</f>
        <v>23.854817462807127</v>
      </c>
    </row>
    <row r="28" spans="1:13">
      <c r="A28" s="86" t="s">
        <v>312</v>
      </c>
      <c r="B28" s="73">
        <f>SUM(B25:B27)</f>
        <v>163.93193315276787</v>
      </c>
      <c r="C28" s="73"/>
      <c r="D28" s="73"/>
      <c r="E28" s="73"/>
      <c r="F28" s="73"/>
      <c r="G28" s="73"/>
      <c r="H28" s="73"/>
      <c r="I28" s="73"/>
      <c r="J28" s="73"/>
      <c r="K28" s="73"/>
      <c r="L28" s="75">
        <f t="shared" ref="L28" si="2">SUM(L25:L27)</f>
        <v>163.93193315276787</v>
      </c>
    </row>
    <row r="29" spans="1:13">
      <c r="A29" s="47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40"/>
    </row>
    <row r="30" spans="1:13">
      <c r="A30" s="36" t="s">
        <v>50</v>
      </c>
      <c r="B30" s="30">
        <f>'Resid TSM Sum by Rate Schedule'!B$30*Inputs!$C$13</f>
        <v>50.313572812706802</v>
      </c>
      <c r="C30" s="30"/>
      <c r="D30" s="30"/>
      <c r="E30" s="30"/>
      <c r="F30" s="30"/>
      <c r="G30" s="30"/>
      <c r="H30" s="30"/>
      <c r="I30" s="30"/>
      <c r="J30" s="30"/>
      <c r="K30" s="30"/>
      <c r="L30" s="40">
        <f>'Resid TSM Sum by Rate Schedule'!L$30*Inputs!$C$13</f>
        <v>50.313572812706802</v>
      </c>
    </row>
    <row r="31" spans="1:13" ht="15">
      <c r="A31" s="36" t="s">
        <v>378</v>
      </c>
      <c r="B31" s="551">
        <f>-Inputs!$C$18</f>
        <v>-3.0284021924274875</v>
      </c>
      <c r="C31" s="551"/>
      <c r="D31" s="551"/>
      <c r="E31" s="551"/>
      <c r="F31" s="551"/>
      <c r="G31" s="551"/>
      <c r="H31" s="551"/>
      <c r="I31" s="551"/>
      <c r="J31" s="551"/>
      <c r="K31" s="551"/>
      <c r="L31" s="553">
        <f>-Inputs!$C$18</f>
        <v>-3.0284021924274875</v>
      </c>
    </row>
    <row r="32" spans="1:13">
      <c r="A32" s="36" t="s">
        <v>377</v>
      </c>
      <c r="B32" s="30">
        <f>B30+B31</f>
        <v>47.285170620279317</v>
      </c>
      <c r="C32" s="30"/>
      <c r="D32" s="30"/>
      <c r="E32" s="30"/>
      <c r="F32" s="30"/>
      <c r="G32" s="30"/>
      <c r="H32" s="30"/>
      <c r="I32" s="30"/>
      <c r="J32" s="30"/>
      <c r="K32" s="30"/>
      <c r="L32" s="40">
        <f t="shared" ref="L32" si="3">L30+L31</f>
        <v>47.285170620279317</v>
      </c>
      <c r="M32" s="31"/>
    </row>
    <row r="33" spans="1:14">
      <c r="A33" s="11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40"/>
      <c r="M33" s="31"/>
    </row>
    <row r="34" spans="1:14">
      <c r="A34" s="36" t="s">
        <v>57</v>
      </c>
      <c r="B34" s="30">
        <f>'Resid TSM Sum by Rate Schedule'!B32*Inputs!$C$14</f>
        <v>28.478866312568123</v>
      </c>
      <c r="C34" s="30"/>
      <c r="D34" s="30"/>
      <c r="E34" s="30"/>
      <c r="F34" s="30"/>
      <c r="G34" s="30"/>
      <c r="H34" s="30"/>
      <c r="I34" s="30"/>
      <c r="J34" s="30"/>
      <c r="K34" s="30"/>
      <c r="L34" s="40">
        <f>'Resid TSM Sum by Rate Schedule'!L32*Inputs!$C$14</f>
        <v>28.478866312568123</v>
      </c>
      <c r="M34" s="31"/>
    </row>
    <row r="35" spans="1:14">
      <c r="A35" s="11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40"/>
      <c r="M35" s="31"/>
    </row>
    <row r="36" spans="1:14">
      <c r="A36" s="36" t="s">
        <v>85</v>
      </c>
      <c r="B36" s="30">
        <f t="shared" ref="B36:L36" si="4">B28+B32+B34</f>
        <v>239.69597008561533</v>
      </c>
      <c r="C36" s="30"/>
      <c r="D36" s="30"/>
      <c r="E36" s="30"/>
      <c r="F36" s="30"/>
      <c r="G36" s="30"/>
      <c r="H36" s="30"/>
      <c r="I36" s="30"/>
      <c r="J36" s="30"/>
      <c r="K36" s="30"/>
      <c r="L36" s="40">
        <f t="shared" si="4"/>
        <v>239.69597008561533</v>
      </c>
      <c r="M36" s="31"/>
      <c r="N36" s="31"/>
    </row>
    <row r="37" spans="1:14" ht="13.5" thickBot="1">
      <c r="A37" s="15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8"/>
    </row>
    <row r="38" spans="1:14">
      <c r="A38" s="85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1:14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31"/>
    </row>
    <row r="40" spans="1:14">
      <c r="L40" s="31"/>
    </row>
    <row r="41" spans="1:14">
      <c r="A41" t="s">
        <v>3</v>
      </c>
    </row>
    <row r="49" spans="1:1">
      <c r="A49" s="19"/>
    </row>
    <row r="61" spans="1:1">
      <c r="A61" s="19"/>
    </row>
  </sheetData>
  <mergeCells count="1">
    <mergeCell ref="A1:L1"/>
  </mergeCells>
  <printOptions horizontalCentered="1"/>
  <pageMargins left="0.75" right="0.75" top="1" bottom="1" header="0.5" footer="0.5"/>
  <pageSetup scale="69" orientation="portrait" r:id="rId1"/>
  <headerFooter alignWithMargins="0">
    <oddFooter>&amp;L&amp;F
&amp;A&amp;R&amp;P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>
    <tabColor rgb="FFC00000"/>
  </sheetPr>
  <dimension ref="A1:AE56"/>
  <sheetViews>
    <sheetView topLeftCell="A3" zoomScaleNormal="100" workbookViewId="0">
      <selection activeCell="A10" sqref="A10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31" ht="18.75" thickBot="1">
      <c r="A1" s="756" t="s">
        <v>84</v>
      </c>
      <c r="B1" s="756"/>
      <c r="C1" s="756"/>
      <c r="D1" s="756"/>
      <c r="E1" s="756"/>
      <c r="F1" s="756"/>
      <c r="G1" s="756"/>
      <c r="H1" s="756"/>
      <c r="I1" s="756"/>
      <c r="J1" s="756"/>
      <c r="K1" s="756"/>
      <c r="L1" s="756"/>
      <c r="M1" s="756"/>
      <c r="N1" s="756"/>
      <c r="O1" s="756"/>
      <c r="P1" s="756"/>
      <c r="Q1" s="756"/>
      <c r="R1" s="756"/>
      <c r="S1" s="756"/>
      <c r="T1" s="756"/>
      <c r="U1" s="756"/>
      <c r="V1" s="756"/>
      <c r="W1" s="756"/>
      <c r="X1" s="756"/>
      <c r="Y1" s="756"/>
    </row>
    <row r="2" spans="1:31" ht="13.5" thickBot="1">
      <c r="A2" s="103"/>
      <c r="B2" s="749" t="s">
        <v>117</v>
      </c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50"/>
      <c r="S2" s="750"/>
      <c r="T2" s="750"/>
      <c r="U2" s="752"/>
      <c r="V2" s="749" t="s">
        <v>118</v>
      </c>
      <c r="W2" s="750"/>
      <c r="X2" s="750"/>
      <c r="Y2" s="752"/>
      <c r="Z2" s="749" t="s">
        <v>130</v>
      </c>
      <c r="AA2" s="750"/>
      <c r="AB2" s="750"/>
      <c r="AC2" s="752"/>
    </row>
    <row r="3" spans="1:31">
      <c r="A3" s="163"/>
      <c r="B3" s="757" t="s">
        <v>113</v>
      </c>
      <c r="C3" s="758"/>
      <c r="D3" s="758"/>
      <c r="E3" s="759"/>
      <c r="F3" s="757" t="s">
        <v>100</v>
      </c>
      <c r="G3" s="758"/>
      <c r="H3" s="758"/>
      <c r="I3" s="759"/>
      <c r="J3" s="757" t="s">
        <v>101</v>
      </c>
      <c r="K3" s="758"/>
      <c r="L3" s="758"/>
      <c r="M3" s="759"/>
      <c r="N3" s="757" t="s">
        <v>99</v>
      </c>
      <c r="O3" s="758"/>
      <c r="P3" s="758"/>
      <c r="Q3" s="759"/>
      <c r="R3" s="751" t="s">
        <v>123</v>
      </c>
      <c r="S3" s="758"/>
      <c r="T3" s="758"/>
      <c r="U3" s="759"/>
      <c r="V3" s="269"/>
      <c r="W3" s="270"/>
      <c r="X3" s="270"/>
      <c r="Y3" s="271"/>
      <c r="Z3" s="269"/>
      <c r="AA3" s="270"/>
      <c r="AB3" s="270"/>
      <c r="AC3" s="271"/>
    </row>
    <row r="4" spans="1:31" ht="13.5" thickBot="1">
      <c r="A4" s="77" t="s">
        <v>4</v>
      </c>
      <c r="B4" s="272" t="s">
        <v>36</v>
      </c>
      <c r="C4" s="273" t="s">
        <v>37</v>
      </c>
      <c r="D4" s="273" t="s">
        <v>38</v>
      </c>
      <c r="E4" s="274" t="s">
        <v>41</v>
      </c>
      <c r="F4" s="272" t="s">
        <v>36</v>
      </c>
      <c r="G4" s="273" t="s">
        <v>37</v>
      </c>
      <c r="H4" s="273" t="s">
        <v>38</v>
      </c>
      <c r="I4" s="274" t="s">
        <v>41</v>
      </c>
      <c r="J4" s="272" t="s">
        <v>36</v>
      </c>
      <c r="K4" s="273" t="s">
        <v>37</v>
      </c>
      <c r="L4" s="273" t="s">
        <v>40</v>
      </c>
      <c r="M4" s="274" t="s">
        <v>41</v>
      </c>
      <c r="N4" s="272" t="s">
        <v>36</v>
      </c>
      <c r="O4" s="273" t="s">
        <v>37</v>
      </c>
      <c r="P4" s="273" t="s">
        <v>40</v>
      </c>
      <c r="Q4" s="274" t="s">
        <v>41</v>
      </c>
      <c r="R4" s="272" t="s">
        <v>36</v>
      </c>
      <c r="S4" s="273" t="s">
        <v>37</v>
      </c>
      <c r="T4" s="273" t="s">
        <v>38</v>
      </c>
      <c r="U4" s="274" t="s">
        <v>41</v>
      </c>
      <c r="V4" s="272" t="s">
        <v>36</v>
      </c>
      <c r="W4" s="273" t="s">
        <v>37</v>
      </c>
      <c r="X4" s="273" t="s">
        <v>40</v>
      </c>
      <c r="Y4" s="274" t="s">
        <v>41</v>
      </c>
      <c r="Z4" s="272" t="s">
        <v>36</v>
      </c>
      <c r="AA4" s="273" t="s">
        <v>37</v>
      </c>
      <c r="AB4" s="273" t="s">
        <v>40</v>
      </c>
      <c r="AC4" s="274" t="s">
        <v>41</v>
      </c>
    </row>
    <row r="5" spans="1:31">
      <c r="A5" s="10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04" t="s">
        <v>42</v>
      </c>
      <c r="W5" s="8" t="s">
        <v>42</v>
      </c>
      <c r="X5" s="8" t="s">
        <v>42</v>
      </c>
      <c r="Y5" s="9" t="s">
        <v>43</v>
      </c>
      <c r="Z5" s="104" t="s">
        <v>42</v>
      </c>
      <c r="AA5" s="8" t="s">
        <v>42</v>
      </c>
      <c r="AB5" s="8" t="s">
        <v>42</v>
      </c>
      <c r="AC5" s="9" t="s">
        <v>43</v>
      </c>
    </row>
    <row r="6" spans="1:31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  <c r="Z6" s="104"/>
      <c r="AA6" s="8"/>
      <c r="AB6" s="8"/>
      <c r="AC6" s="9"/>
    </row>
    <row r="7" spans="1:31">
      <c r="A7" s="124" t="s">
        <v>5</v>
      </c>
      <c r="B7" s="109">
        <f>'Resid Cust Fcst '!$B8*'Resid TSM UC Adj'!B7</f>
        <v>0</v>
      </c>
      <c r="C7" s="23">
        <f>'Resid Cust Fcst '!$B8*'Resid TSM UC Adj'!C7</f>
        <v>0</v>
      </c>
      <c r="D7" s="23">
        <f>'Resid Cust Fcst '!$B8*'Resid TSM UC Adj'!D7</f>
        <v>0</v>
      </c>
      <c r="E7" s="41">
        <f>IF(SUM(B7:D7)=0,0,SUM(B7:D7)/'Resid Cust Fcst '!B8)</f>
        <v>0</v>
      </c>
      <c r="F7" s="109">
        <f>'Resid Cust Fcst '!$C8*'Resid TSM UC Adj'!F7</f>
        <v>0</v>
      </c>
      <c r="G7" s="23">
        <f>'Resid Cust Fcst '!$C8*'Resid TSM UC Adj'!G7</f>
        <v>0</v>
      </c>
      <c r="H7" s="23">
        <f>'Resid Cust Fcst '!$C8*'Resid TSM UC Adj'!H7</f>
        <v>0</v>
      </c>
      <c r="I7" s="41">
        <f>IF(SUM(F7:H7)=0,0,SUM(F7:H7)/'Resid Cust Fcst '!C8)</f>
        <v>0</v>
      </c>
      <c r="J7" s="109">
        <f>'Resid Cust Fcst '!$D8*'Resid TSM UC Adj'!J7</f>
        <v>0</v>
      </c>
      <c r="K7" s="23">
        <f>'Resid Cust Fcst '!$D8*'Resid TSM UC Adj'!K7</f>
        <v>0</v>
      </c>
      <c r="L7" s="23">
        <f>'Resid Cust Fcst '!$D8*'Resid TSM UC Adj'!L7</f>
        <v>0</v>
      </c>
      <c r="M7" s="41">
        <f>IF(SUM(J7:L7)=0,0,SUM(J7:L7)/'Resid Cust Fcst '!D8)</f>
        <v>0</v>
      </c>
      <c r="N7" s="109">
        <f>'Resid Cust Fcst '!$E8*'Resid TSM UC Adj'!N7</f>
        <v>0</v>
      </c>
      <c r="O7" s="23">
        <f>'Resid Cust Fcst '!$E8*'Resid TSM UC Adj'!O7</f>
        <v>0</v>
      </c>
      <c r="P7" s="23">
        <f>'Resid Cust Fcst '!$E8*'Resid TSM UC Adj'!P7</f>
        <v>0</v>
      </c>
      <c r="Q7" s="41">
        <f>IF(SUM(N7:P7)=0,0,SUM(N7:P7)/'Resid Cust Fcst '!E8)</f>
        <v>0</v>
      </c>
      <c r="R7" s="109">
        <f>B7+F7+J7+N7</f>
        <v>0</v>
      </c>
      <c r="S7" s="23">
        <f t="shared" ref="S7:T22" si="0">C7+G7+K7+O7</f>
        <v>0</v>
      </c>
      <c r="T7" s="23">
        <f t="shared" si="0"/>
        <v>0</v>
      </c>
      <c r="U7" s="41">
        <f>IF(SUM(R7:T7)=0,0,SUM(R7:T7)/'Resid Cust Fcst '!F8)</f>
        <v>0</v>
      </c>
      <c r="V7" s="109">
        <f>'Resid Cust Fcst '!$G8*'Resid TSM UC Adj'!R7</f>
        <v>0</v>
      </c>
      <c r="W7" s="23">
        <f>'Resid Cust Fcst '!$G8*'Resid TSM UC Adj'!S7</f>
        <v>0</v>
      </c>
      <c r="X7" s="23">
        <f>'Resid Cust Fcst '!$G8*'Resid TSM UC Adj'!T7</f>
        <v>0</v>
      </c>
      <c r="Y7" s="41">
        <f>IF(SUM(V7:X7)=0,0,SUM(V7:X7)/'Resid Cust Fcst '!G8)</f>
        <v>0</v>
      </c>
      <c r="Z7" s="109">
        <f>R7+V7</f>
        <v>0</v>
      </c>
      <c r="AA7" s="23">
        <f t="shared" ref="AA7:AB22" si="1">S7+W7</f>
        <v>0</v>
      </c>
      <c r="AB7" s="23">
        <f t="shared" si="1"/>
        <v>0</v>
      </c>
      <c r="AC7" s="41">
        <f>IF(SUM(Z7:AB7)=0,0,SUM(Z7:AB7)/'Resid Cust Fcst '!H8)</f>
        <v>0</v>
      </c>
      <c r="AE7" s="31"/>
    </row>
    <row r="8" spans="1:31">
      <c r="A8" s="126" t="s">
        <v>6</v>
      </c>
      <c r="B8" s="109">
        <f>'Resid Cust Fcst '!$B9*'Resid TSM UC Adj'!B8</f>
        <v>0</v>
      </c>
      <c r="C8" s="23">
        <f>'Resid Cust Fcst '!$B9*'Resid TSM UC Adj'!C8</f>
        <v>0</v>
      </c>
      <c r="D8" s="23">
        <f>'Resid Cust Fcst '!$B9*'Resid TSM UC Adj'!D8</f>
        <v>0</v>
      </c>
      <c r="E8" s="41">
        <f>IF(SUM(B8:D8)=0,0,SUM(B8:D8)/'Resid Cust Fcst '!B9)</f>
        <v>0</v>
      </c>
      <c r="F8" s="109">
        <f>'Resid Cust Fcst '!$C9*'Resid TSM UC Adj'!F8</f>
        <v>0</v>
      </c>
      <c r="G8" s="23">
        <f>'Resid Cust Fcst '!$C9*'Resid TSM UC Adj'!G8</f>
        <v>0</v>
      </c>
      <c r="H8" s="23">
        <f>'Resid Cust Fcst '!$C9*'Resid TSM UC Adj'!H8</f>
        <v>0</v>
      </c>
      <c r="I8" s="41">
        <f>IF(SUM(F8:H8)=0,0,SUM(F8:H8)/'Resid Cust Fcst '!C9)</f>
        <v>0</v>
      </c>
      <c r="J8" s="109">
        <f>'Resid Cust Fcst '!$D9*'Resid TSM UC Adj'!J8</f>
        <v>0</v>
      </c>
      <c r="K8" s="23">
        <f>'Resid Cust Fcst '!$D9*'Resid TSM UC Adj'!K8</f>
        <v>0</v>
      </c>
      <c r="L8" s="23">
        <f>'Resid Cust Fcst '!$D9*'Resid TSM UC Adj'!L8</f>
        <v>0</v>
      </c>
      <c r="M8" s="41">
        <f>IF(SUM(J8:L8)=0,0,SUM(J8:L8)/'Resid Cust Fcst '!D9)</f>
        <v>0</v>
      </c>
      <c r="N8" s="109">
        <f>'Resid Cust Fcst '!$E9*'Resid TSM UC Adj'!N8</f>
        <v>0</v>
      </c>
      <c r="O8" s="23">
        <f>'Resid Cust Fcst '!$E9*'Resid TSM UC Adj'!O8</f>
        <v>0</v>
      </c>
      <c r="P8" s="23">
        <f>'Resid Cust Fcst '!$E9*'Resid TSM UC Adj'!P8</f>
        <v>0</v>
      </c>
      <c r="Q8" s="41">
        <f>IF(SUM(N8:P8)=0,0,SUM(N8:P8)/'Resid Cust Fcst '!E9)</f>
        <v>0</v>
      </c>
      <c r="R8" s="109">
        <f t="shared" ref="R8:R37" si="2">B8+F8+J8+N8</f>
        <v>0</v>
      </c>
      <c r="S8" s="23">
        <f t="shared" si="0"/>
        <v>0</v>
      </c>
      <c r="T8" s="23">
        <f t="shared" si="0"/>
        <v>0</v>
      </c>
      <c r="U8" s="41">
        <f>IF(SUM(R8:T8)=0,0,SUM(R8:T8)/'Resid Cust Fcst '!F9)</f>
        <v>0</v>
      </c>
      <c r="V8" s="109">
        <f>'Resid Cust Fcst '!$G9*'Resid TSM UC Adj'!R8</f>
        <v>0</v>
      </c>
      <c r="W8" s="23">
        <f>'Resid Cust Fcst '!$G9*'Resid TSM UC Adj'!S8</f>
        <v>0</v>
      </c>
      <c r="X8" s="23">
        <f>'Resid Cust Fcst '!$G9*'Resid TSM UC Adj'!T8</f>
        <v>0</v>
      </c>
      <c r="Y8" s="41">
        <f>IF(SUM(V8:X8)=0,0,SUM(V8:X8)/'Resid Cust Fcst '!G9)</f>
        <v>0</v>
      </c>
      <c r="Z8" s="109">
        <f t="shared" ref="Z8:Z37" si="3">R8+V8</f>
        <v>0</v>
      </c>
      <c r="AA8" s="23">
        <f t="shared" si="1"/>
        <v>0</v>
      </c>
      <c r="AB8" s="23">
        <f t="shared" si="1"/>
        <v>0</v>
      </c>
      <c r="AC8" s="41">
        <f>IF(SUM(Z8:AB8)=0,0,SUM(Z8:AB8)/'Resid Cust Fcst '!H9)</f>
        <v>0</v>
      </c>
    </row>
    <row r="9" spans="1:31">
      <c r="A9" s="126" t="s">
        <v>7</v>
      </c>
      <c r="B9" s="109">
        <f>'Resid Cust Fcst '!$B10*'Resid TSM UC Adj'!B9</f>
        <v>0</v>
      </c>
      <c r="C9" s="23">
        <f>'Resid Cust Fcst '!$B10*'Resid TSM UC Adj'!C9</f>
        <v>0</v>
      </c>
      <c r="D9" s="23">
        <f>'Resid Cust Fcst '!$B10*'Resid TSM UC Adj'!D9</f>
        <v>0</v>
      </c>
      <c r="E9" s="41">
        <f>IF(SUM(B9:D9)=0,0,SUM(B9:D9)/'Resid Cust Fcst '!B10)</f>
        <v>0</v>
      </c>
      <c r="F9" s="109">
        <f>'Resid Cust Fcst '!$C10*'Resid TSM UC Adj'!F9</f>
        <v>0</v>
      </c>
      <c r="G9" s="23">
        <f>'Resid Cust Fcst '!$C10*'Resid TSM UC Adj'!G9</f>
        <v>0</v>
      </c>
      <c r="H9" s="23">
        <f>'Resid Cust Fcst '!$C10*'Resid TSM UC Adj'!H9</f>
        <v>0</v>
      </c>
      <c r="I9" s="41">
        <f>IF(SUM(F9:H9)=0,0,SUM(F9:H9)/'Resid Cust Fcst '!C10)</f>
        <v>0</v>
      </c>
      <c r="J9" s="109">
        <f>'Resid Cust Fcst '!$D10*'Resid TSM UC Adj'!J9</f>
        <v>0</v>
      </c>
      <c r="K9" s="23">
        <f>'Resid Cust Fcst '!$D10*'Resid TSM UC Adj'!K9</f>
        <v>0</v>
      </c>
      <c r="L9" s="23">
        <f>'Resid Cust Fcst '!$D10*'Resid TSM UC Adj'!L9</f>
        <v>0</v>
      </c>
      <c r="M9" s="41">
        <f>IF(SUM(J9:L9)=0,0,SUM(J9:L9)/'Resid Cust Fcst '!D10)</f>
        <v>0</v>
      </c>
      <c r="N9" s="109">
        <f>'Resid Cust Fcst '!$E10*'Resid TSM UC Adj'!N9</f>
        <v>0</v>
      </c>
      <c r="O9" s="23">
        <f>'Resid Cust Fcst '!$E10*'Resid TSM UC Adj'!O9</f>
        <v>0</v>
      </c>
      <c r="P9" s="23">
        <f>'Resid Cust Fcst '!$E10*'Resid TSM UC Adj'!P9</f>
        <v>0</v>
      </c>
      <c r="Q9" s="41">
        <f>IF(SUM(N9:P9)=0,0,SUM(N9:P9)/'Resid Cust Fcst '!E10)</f>
        <v>0</v>
      </c>
      <c r="R9" s="109">
        <f t="shared" si="2"/>
        <v>0</v>
      </c>
      <c r="S9" s="23">
        <f t="shared" si="0"/>
        <v>0</v>
      </c>
      <c r="T9" s="23">
        <f t="shared" si="0"/>
        <v>0</v>
      </c>
      <c r="U9" s="41">
        <f>IF(SUM(R9:T9)=0,0,SUM(R9:T9)/'Resid Cust Fcst '!F10)</f>
        <v>0</v>
      </c>
      <c r="V9" s="109">
        <f>'Resid Cust Fcst '!$G10*'Resid TSM UC Adj'!R9</f>
        <v>0</v>
      </c>
      <c r="W9" s="23">
        <f>'Resid Cust Fcst '!$G10*'Resid TSM UC Adj'!S9</f>
        <v>0</v>
      </c>
      <c r="X9" s="23">
        <f>'Resid Cust Fcst '!$G10*'Resid TSM UC Adj'!T9</f>
        <v>0</v>
      </c>
      <c r="Y9" s="41">
        <f>IF(SUM(V9:X9)=0,0,SUM(V9:X9)/'Resid Cust Fcst '!G10)</f>
        <v>0</v>
      </c>
      <c r="Z9" s="109">
        <f t="shared" si="3"/>
        <v>0</v>
      </c>
      <c r="AA9" s="23">
        <f t="shared" si="1"/>
        <v>0</v>
      </c>
      <c r="AB9" s="23">
        <f t="shared" si="1"/>
        <v>0</v>
      </c>
      <c r="AC9" s="41">
        <f>IF(SUM(Z9:AB9)=0,0,SUM(Z9:AB9)/'Resid Cust Fcst '!H10)</f>
        <v>0</v>
      </c>
    </row>
    <row r="10" spans="1:31" s="52" customFormat="1">
      <c r="A10" s="219" t="s">
        <v>110</v>
      </c>
      <c r="B10" s="109">
        <f>'Resid Cust Fcst '!$B11*'Resid TSM UC Adj'!B10</f>
        <v>1349.6507651389106</v>
      </c>
      <c r="C10" s="23">
        <f>'Resid Cust Fcst '!$B11*'Resid TSM UC Adj'!C10</f>
        <v>213.73179817905475</v>
      </c>
      <c r="D10" s="23">
        <f>'Resid Cust Fcst '!$B11*'Resid TSM UC Adj'!D10</f>
        <v>195.54777786497777</v>
      </c>
      <c r="E10" s="41">
        <f>IF(SUM(B10:D10)=0,0,SUM(B10:D10)/'Resid Cust Fcst '!B11)</f>
        <v>1758.9303411829433</v>
      </c>
      <c r="F10" s="109">
        <f>'Resid Cust Fcst '!$C11*'Resid TSM UC Adj'!F10</f>
        <v>0</v>
      </c>
      <c r="G10" s="23">
        <f>'Resid Cust Fcst '!$C11*'Resid TSM UC Adj'!G10</f>
        <v>0</v>
      </c>
      <c r="H10" s="23">
        <f>'Resid Cust Fcst '!$C11*'Resid TSM UC Adj'!H10</f>
        <v>0</v>
      </c>
      <c r="I10" s="41">
        <f>IF(SUM(F10:H10)=0,0,SUM(F10:H10)/'Resid Cust Fcst '!C11)</f>
        <v>0</v>
      </c>
      <c r="J10" s="109">
        <f>'Resid Cust Fcst '!$D11*'Resid TSM UC Adj'!J10</f>
        <v>0</v>
      </c>
      <c r="K10" s="23">
        <f>'Resid Cust Fcst '!$D11*'Resid TSM UC Adj'!K10</f>
        <v>0</v>
      </c>
      <c r="L10" s="23">
        <f>'Resid Cust Fcst '!$D11*'Resid TSM UC Adj'!L10</f>
        <v>0</v>
      </c>
      <c r="M10" s="41">
        <f>IF(SUM(J10:L10)=0,0,SUM(J10:L10)/'Resid Cust Fcst '!D11)</f>
        <v>0</v>
      </c>
      <c r="N10" s="109">
        <f>'Resid Cust Fcst '!$E11*'Resid TSM UC Adj'!N10</f>
        <v>0</v>
      </c>
      <c r="O10" s="23">
        <f>'Resid Cust Fcst '!$E11*'Resid TSM UC Adj'!O10</f>
        <v>0</v>
      </c>
      <c r="P10" s="23">
        <f>'Resid Cust Fcst '!$E11*'Resid TSM UC Adj'!P10</f>
        <v>0</v>
      </c>
      <c r="Q10" s="41">
        <f>IF(SUM(N10:P10)=0,0,SUM(N10:P10)/'Resid Cust Fcst '!E11)</f>
        <v>0</v>
      </c>
      <c r="R10" s="109">
        <f t="shared" si="2"/>
        <v>1349.6507651389106</v>
      </c>
      <c r="S10" s="23">
        <f t="shared" si="0"/>
        <v>213.73179817905475</v>
      </c>
      <c r="T10" s="23">
        <f t="shared" si="0"/>
        <v>195.54777786497777</v>
      </c>
      <c r="U10" s="41">
        <f>IF(SUM(R10:T10)=0,0,SUM(R10:T10)/'Resid Cust Fcst '!F11)</f>
        <v>1758.9303411829433</v>
      </c>
      <c r="V10" s="109">
        <f>'Resid Cust Fcst '!$G11*'Resid TSM UC Adj'!R10</f>
        <v>0</v>
      </c>
      <c r="W10" s="23">
        <f>'Resid Cust Fcst '!$G11*'Resid TSM UC Adj'!S10</f>
        <v>0</v>
      </c>
      <c r="X10" s="23">
        <f>'Resid Cust Fcst '!$G11*'Resid TSM UC Adj'!T10</f>
        <v>0</v>
      </c>
      <c r="Y10" s="41">
        <f>IF(SUM(V10:X10)=0,0,SUM(V10:X10)/'Resid Cust Fcst '!G11)</f>
        <v>0</v>
      </c>
      <c r="Z10" s="109">
        <f t="shared" si="3"/>
        <v>1349.6507651389106</v>
      </c>
      <c r="AA10" s="23">
        <f t="shared" si="1"/>
        <v>213.73179817905475</v>
      </c>
      <c r="AB10" s="23">
        <f t="shared" si="1"/>
        <v>195.54777786497777</v>
      </c>
      <c r="AC10" s="41">
        <f>IF(SUM(Z10:AB10)=0,0,SUM(Z10:AB10)/'Resid Cust Fcst '!H11)</f>
        <v>1758.9303411829433</v>
      </c>
    </row>
    <row r="11" spans="1:31">
      <c r="A11" s="124" t="s">
        <v>102</v>
      </c>
      <c r="B11" s="109">
        <f>'Resid Cust Fcst '!$B12*'Resid TSM UC Adj'!B11</f>
        <v>0</v>
      </c>
      <c r="C11" s="23">
        <f>'Resid Cust Fcst '!$B12*'Resid TSM UC Adj'!C11</f>
        <v>0</v>
      </c>
      <c r="D11" s="23">
        <f>'Resid Cust Fcst '!$B12*'Resid TSM UC Adj'!D11</f>
        <v>0</v>
      </c>
      <c r="E11" s="41">
        <f>IF(SUM(B11:D11)=0,0,SUM(B11:D11)/'Resid Cust Fcst '!B12)</f>
        <v>0</v>
      </c>
      <c r="F11" s="109">
        <f>'Resid Cust Fcst '!$C12*'Resid TSM UC Adj'!F11</f>
        <v>0</v>
      </c>
      <c r="G11" s="23">
        <f>'Resid Cust Fcst '!$C12*'Resid TSM UC Adj'!G11</f>
        <v>0</v>
      </c>
      <c r="H11" s="23">
        <f>'Resid Cust Fcst '!$C12*'Resid TSM UC Adj'!H11</f>
        <v>0</v>
      </c>
      <c r="I11" s="41">
        <f>IF(SUM(F11:H11)=0,0,SUM(F11:H11)/'Resid Cust Fcst '!C12)</f>
        <v>0</v>
      </c>
      <c r="J11" s="109">
        <f>'Resid Cust Fcst '!$D12*'Resid TSM UC Adj'!J11</f>
        <v>0</v>
      </c>
      <c r="K11" s="23">
        <f>'Resid Cust Fcst '!$D12*'Resid TSM UC Adj'!K11</f>
        <v>0</v>
      </c>
      <c r="L11" s="23">
        <f>'Resid Cust Fcst '!$D12*'Resid TSM UC Adj'!L11</f>
        <v>0</v>
      </c>
      <c r="M11" s="41">
        <f>IF(SUM(J11:L11)=0,0,SUM(J11:L11)/'Resid Cust Fcst '!D12)</f>
        <v>0</v>
      </c>
      <c r="N11" s="109">
        <f>'Resid Cust Fcst '!$E12*'Resid TSM UC Adj'!N11</f>
        <v>0</v>
      </c>
      <c r="O11" s="23">
        <f>'Resid Cust Fcst '!$E12*'Resid TSM UC Adj'!O11</f>
        <v>0</v>
      </c>
      <c r="P11" s="23">
        <f>'Resid Cust Fcst '!$E12*'Resid TSM UC Adj'!P11</f>
        <v>0</v>
      </c>
      <c r="Q11" s="41">
        <f>IF(SUM(N11:P11)=0,0,SUM(N11:P11)/'Resid Cust Fcst '!E12)</f>
        <v>0</v>
      </c>
      <c r="R11" s="109">
        <f t="shared" si="2"/>
        <v>0</v>
      </c>
      <c r="S11" s="23">
        <f t="shared" si="0"/>
        <v>0</v>
      </c>
      <c r="T11" s="23">
        <f t="shared" si="0"/>
        <v>0</v>
      </c>
      <c r="U11" s="41">
        <f>IF(SUM(R11:T11)=0,0,SUM(R11:T11)/'Resid Cust Fcst '!F12)</f>
        <v>0</v>
      </c>
      <c r="V11" s="109">
        <f>'Resid Cust Fcst '!$G12*'Resid TSM UC Adj'!R11</f>
        <v>0</v>
      </c>
      <c r="W11" s="23">
        <f>'Resid Cust Fcst '!$G12*'Resid TSM UC Adj'!S11</f>
        <v>0</v>
      </c>
      <c r="X11" s="23">
        <f>'Resid Cust Fcst '!$G12*'Resid TSM UC Adj'!T11</f>
        <v>0</v>
      </c>
      <c r="Y11" s="41">
        <f>IF(SUM(V11:X11)=0,0,SUM(V11:X11)/'Resid Cust Fcst '!G12)</f>
        <v>0</v>
      </c>
      <c r="Z11" s="109">
        <f t="shared" si="3"/>
        <v>0</v>
      </c>
      <c r="AA11" s="23">
        <f t="shared" si="1"/>
        <v>0</v>
      </c>
      <c r="AB11" s="23">
        <f t="shared" si="1"/>
        <v>0</v>
      </c>
      <c r="AC11" s="41">
        <f>IF(SUM(Z11:AB11)=0,0,SUM(Z11:AB11)/'Resid Cust Fcst '!H12)</f>
        <v>0</v>
      </c>
    </row>
    <row r="12" spans="1:31">
      <c r="A12" s="124" t="s">
        <v>8</v>
      </c>
      <c r="B12" s="109">
        <f>'Resid Cust Fcst '!$B13*'Resid TSM UC Adj'!B12</f>
        <v>0</v>
      </c>
      <c r="C12" s="23">
        <f>'Resid Cust Fcst '!$B13*'Resid TSM UC Adj'!C12</f>
        <v>0</v>
      </c>
      <c r="D12" s="23">
        <f>'Resid Cust Fcst '!$B13*'Resid TSM UC Adj'!D12</f>
        <v>0</v>
      </c>
      <c r="E12" s="41">
        <f>IF(SUM(B12:D12)=0,0,SUM(B12:D12)/'Resid Cust Fcst '!B13)</f>
        <v>0</v>
      </c>
      <c r="F12" s="109">
        <f>'Resid Cust Fcst '!$C13*'Resid TSM UC Adj'!F12</f>
        <v>0</v>
      </c>
      <c r="G12" s="23">
        <f>'Resid Cust Fcst '!$C13*'Resid TSM UC Adj'!G12</f>
        <v>0</v>
      </c>
      <c r="H12" s="23">
        <f>'Resid Cust Fcst '!$C13*'Resid TSM UC Adj'!H12</f>
        <v>0</v>
      </c>
      <c r="I12" s="41">
        <f>IF(SUM(F12:H12)=0,0,SUM(F12:H12)/'Resid Cust Fcst '!C13)</f>
        <v>0</v>
      </c>
      <c r="J12" s="109">
        <f>'Resid Cust Fcst '!$D13*'Resid TSM UC Adj'!J12</f>
        <v>0</v>
      </c>
      <c r="K12" s="23">
        <f>'Resid Cust Fcst '!$D13*'Resid TSM UC Adj'!K12</f>
        <v>0</v>
      </c>
      <c r="L12" s="23">
        <f>'Resid Cust Fcst '!$D13*'Resid TSM UC Adj'!L12</f>
        <v>0</v>
      </c>
      <c r="M12" s="41">
        <f>IF(SUM(J12:L12)=0,0,SUM(J12:L12)/'Resid Cust Fcst '!D13)</f>
        <v>0</v>
      </c>
      <c r="N12" s="109">
        <f>'Resid Cust Fcst '!$E13*'Resid TSM UC Adj'!N12</f>
        <v>0</v>
      </c>
      <c r="O12" s="23">
        <f>'Resid Cust Fcst '!$E13*'Resid TSM UC Adj'!O12</f>
        <v>0</v>
      </c>
      <c r="P12" s="23">
        <f>'Resid Cust Fcst '!$E13*'Resid TSM UC Adj'!P12</f>
        <v>0</v>
      </c>
      <c r="Q12" s="41">
        <f>IF(SUM(N12:P12)=0,0,SUM(N12:P12)/'Resid Cust Fcst '!E13)</f>
        <v>0</v>
      </c>
      <c r="R12" s="109">
        <f t="shared" si="2"/>
        <v>0</v>
      </c>
      <c r="S12" s="23">
        <f t="shared" si="0"/>
        <v>0</v>
      </c>
      <c r="T12" s="23">
        <f t="shared" si="0"/>
        <v>0</v>
      </c>
      <c r="U12" s="41">
        <f>IF(SUM(R12:T12)=0,0,SUM(R12:T12)/'Resid Cust Fcst '!F13)</f>
        <v>0</v>
      </c>
      <c r="V12" s="109">
        <f>'Resid Cust Fcst '!$G13*'Resid TSM UC Adj'!R12</f>
        <v>0</v>
      </c>
      <c r="W12" s="23">
        <f>'Resid Cust Fcst '!$G13*'Resid TSM UC Adj'!S12</f>
        <v>0</v>
      </c>
      <c r="X12" s="23">
        <f>'Resid Cust Fcst '!$G13*'Resid TSM UC Adj'!T12</f>
        <v>0</v>
      </c>
      <c r="Y12" s="41">
        <f>IF(SUM(V12:X12)=0,0,SUM(V12:X12)/'Resid Cust Fcst '!G13)</f>
        <v>0</v>
      </c>
      <c r="Z12" s="109">
        <f t="shared" si="3"/>
        <v>0</v>
      </c>
      <c r="AA12" s="23">
        <f t="shared" si="1"/>
        <v>0</v>
      </c>
      <c r="AB12" s="23">
        <f t="shared" si="1"/>
        <v>0</v>
      </c>
      <c r="AC12" s="41">
        <f>IF(SUM(Z12:AB12)=0,0,SUM(Z12:AB12)/'Resid Cust Fcst '!H13)</f>
        <v>0</v>
      </c>
    </row>
    <row r="13" spans="1:31">
      <c r="A13" s="124" t="s">
        <v>9</v>
      </c>
      <c r="B13" s="109">
        <f>'Resid Cust Fcst '!$B14*'Resid TSM UC Adj'!B13</f>
        <v>0</v>
      </c>
      <c r="C13" s="23">
        <f>'Resid Cust Fcst '!$B14*'Resid TSM UC Adj'!C13</f>
        <v>0</v>
      </c>
      <c r="D13" s="23">
        <f>'Resid Cust Fcst '!$B14*'Resid TSM UC Adj'!D13</f>
        <v>0</v>
      </c>
      <c r="E13" s="41">
        <f>IF(SUM(B13:D13)=0,0,SUM(B13:D13)/'Resid Cust Fcst '!B14)</f>
        <v>0</v>
      </c>
      <c r="F13" s="109">
        <f>'Resid Cust Fcst '!$C14*'Resid TSM UC Adj'!F13</f>
        <v>0</v>
      </c>
      <c r="G13" s="23">
        <f>'Resid Cust Fcst '!$C14*'Resid TSM UC Adj'!G13</f>
        <v>0</v>
      </c>
      <c r="H13" s="23">
        <f>'Resid Cust Fcst '!$C14*'Resid TSM UC Adj'!H13</f>
        <v>0</v>
      </c>
      <c r="I13" s="41">
        <f>IF(SUM(F13:H13)=0,0,SUM(F13:H13)/'Resid Cust Fcst '!C14)</f>
        <v>0</v>
      </c>
      <c r="J13" s="109">
        <f>'Resid Cust Fcst '!$D14*'Resid TSM UC Adj'!J13</f>
        <v>0</v>
      </c>
      <c r="K13" s="23">
        <f>'Resid Cust Fcst '!$D14*'Resid TSM UC Adj'!K13</f>
        <v>0</v>
      </c>
      <c r="L13" s="23">
        <f>'Resid Cust Fcst '!$D14*'Resid TSM UC Adj'!L13</f>
        <v>0</v>
      </c>
      <c r="M13" s="41">
        <f>IF(SUM(J13:L13)=0,0,SUM(J13:L13)/'Resid Cust Fcst '!D14)</f>
        <v>0</v>
      </c>
      <c r="N13" s="109">
        <f>'Resid Cust Fcst '!$E14*'Resid TSM UC Adj'!N13</f>
        <v>0</v>
      </c>
      <c r="O13" s="23">
        <f>'Resid Cust Fcst '!$E14*'Resid TSM UC Adj'!O13</f>
        <v>0</v>
      </c>
      <c r="P13" s="23">
        <f>'Resid Cust Fcst '!$E14*'Resid TSM UC Adj'!P13</f>
        <v>0</v>
      </c>
      <c r="Q13" s="41">
        <f>IF(SUM(N13:P13)=0,0,SUM(N13:P13)/'Resid Cust Fcst '!E14)</f>
        <v>0</v>
      </c>
      <c r="R13" s="109">
        <f t="shared" si="2"/>
        <v>0</v>
      </c>
      <c r="S13" s="23">
        <f t="shared" si="0"/>
        <v>0</v>
      </c>
      <c r="T13" s="23">
        <f t="shared" si="0"/>
        <v>0</v>
      </c>
      <c r="U13" s="41">
        <f>IF(SUM(R13:T13)=0,0,SUM(R13:T13)/'Resid Cust Fcst '!F14)</f>
        <v>0</v>
      </c>
      <c r="V13" s="109">
        <f>'Resid Cust Fcst '!$G14*'Resid TSM UC Adj'!R13</f>
        <v>0</v>
      </c>
      <c r="W13" s="23">
        <f>'Resid Cust Fcst '!$G14*'Resid TSM UC Adj'!S13</f>
        <v>0</v>
      </c>
      <c r="X13" s="23">
        <f>'Resid Cust Fcst '!$G14*'Resid TSM UC Adj'!T13</f>
        <v>0</v>
      </c>
      <c r="Y13" s="41">
        <f>IF(SUM(V13:X13)=0,0,SUM(V13:X13)/'Resid Cust Fcst '!G14)</f>
        <v>0</v>
      </c>
      <c r="Z13" s="109">
        <f t="shared" si="3"/>
        <v>0</v>
      </c>
      <c r="AA13" s="23">
        <f t="shared" si="1"/>
        <v>0</v>
      </c>
      <c r="AB13" s="23">
        <f t="shared" si="1"/>
        <v>0</v>
      </c>
      <c r="AC13" s="41">
        <f>IF(SUM(Z13:AB13)=0,0,SUM(Z13:AB13)/'Resid Cust Fcst '!H14)</f>
        <v>0</v>
      </c>
    </row>
    <row r="14" spans="1:31">
      <c r="A14" s="124" t="s">
        <v>10</v>
      </c>
      <c r="B14" s="109">
        <f>'Resid Cust Fcst '!$B15*'Resid TSM UC Adj'!B14</f>
        <v>0</v>
      </c>
      <c r="C14" s="23">
        <f>'Resid Cust Fcst '!$B15*'Resid TSM UC Adj'!C14</f>
        <v>0</v>
      </c>
      <c r="D14" s="23">
        <f>'Resid Cust Fcst '!$B15*'Resid TSM UC Adj'!D14</f>
        <v>0</v>
      </c>
      <c r="E14" s="41">
        <f>IF(SUM(B14:D14)=0,0,SUM(B14:D14)/'Resid Cust Fcst '!B15)</f>
        <v>0</v>
      </c>
      <c r="F14" s="109">
        <f>'Resid Cust Fcst '!$C15*'Resid TSM UC Adj'!F14</f>
        <v>0</v>
      </c>
      <c r="G14" s="23">
        <f>'Resid Cust Fcst '!$C15*'Resid TSM UC Adj'!G14</f>
        <v>0</v>
      </c>
      <c r="H14" s="23">
        <f>'Resid Cust Fcst '!$C15*'Resid TSM UC Adj'!H14</f>
        <v>0</v>
      </c>
      <c r="I14" s="41">
        <f>IF(SUM(F14:H14)=0,0,SUM(F14:H14)/'Resid Cust Fcst '!C15)</f>
        <v>0</v>
      </c>
      <c r="J14" s="109">
        <f>'Resid Cust Fcst '!$D15*'Resid TSM UC Adj'!J14</f>
        <v>0</v>
      </c>
      <c r="K14" s="23">
        <f>'Resid Cust Fcst '!$D15*'Resid TSM UC Adj'!K14</f>
        <v>0</v>
      </c>
      <c r="L14" s="23">
        <f>'Resid Cust Fcst '!$D15*'Resid TSM UC Adj'!L14</f>
        <v>0</v>
      </c>
      <c r="M14" s="41">
        <f>IF(SUM(J14:L14)=0,0,SUM(J14:L14)/'Resid Cust Fcst '!D15)</f>
        <v>0</v>
      </c>
      <c r="N14" s="109">
        <f>'Resid Cust Fcst '!$E15*'Resid TSM UC Adj'!N14</f>
        <v>0</v>
      </c>
      <c r="O14" s="23">
        <f>'Resid Cust Fcst '!$E15*'Resid TSM UC Adj'!O14</f>
        <v>0</v>
      </c>
      <c r="P14" s="23">
        <f>'Resid Cust Fcst '!$E15*'Resid TSM UC Adj'!P14</f>
        <v>0</v>
      </c>
      <c r="Q14" s="41">
        <f>IF(SUM(N14:P14)=0,0,SUM(N14:P14)/'Resid Cust Fcst '!E15)</f>
        <v>0</v>
      </c>
      <c r="R14" s="109">
        <f t="shared" si="2"/>
        <v>0</v>
      </c>
      <c r="S14" s="23">
        <f t="shared" si="0"/>
        <v>0</v>
      </c>
      <c r="T14" s="23">
        <f t="shared" si="0"/>
        <v>0</v>
      </c>
      <c r="U14" s="41">
        <f>IF(SUM(R14:T14)=0,0,SUM(R14:T14)/'Resid Cust Fcst '!F15)</f>
        <v>0</v>
      </c>
      <c r="V14" s="109">
        <f>'Resid Cust Fcst '!$G15*'Resid TSM UC Adj'!R14</f>
        <v>0</v>
      </c>
      <c r="W14" s="23">
        <f>'Resid Cust Fcst '!$G15*'Resid TSM UC Adj'!S14</f>
        <v>0</v>
      </c>
      <c r="X14" s="23">
        <f>'Resid Cust Fcst '!$G15*'Resid TSM UC Adj'!T14</f>
        <v>0</v>
      </c>
      <c r="Y14" s="41">
        <f>IF(SUM(V14:X14)=0,0,SUM(V14:X14)/'Resid Cust Fcst '!G15)</f>
        <v>0</v>
      </c>
      <c r="Z14" s="109">
        <f t="shared" si="3"/>
        <v>0</v>
      </c>
      <c r="AA14" s="23">
        <f t="shared" si="1"/>
        <v>0</v>
      </c>
      <c r="AB14" s="23">
        <f t="shared" si="1"/>
        <v>0</v>
      </c>
      <c r="AC14" s="41">
        <f>IF(SUM(Z14:AB14)=0,0,SUM(Z14:AB14)/'Resid Cust Fcst '!H15)</f>
        <v>0</v>
      </c>
    </row>
    <row r="15" spans="1:31">
      <c r="A15" s="124" t="s">
        <v>11</v>
      </c>
      <c r="B15" s="109">
        <f>'Resid Cust Fcst '!$B16*'Resid TSM UC Adj'!B15</f>
        <v>0</v>
      </c>
      <c r="C15" s="23">
        <f>'Resid Cust Fcst '!$B16*'Resid TSM UC Adj'!C15</f>
        <v>0</v>
      </c>
      <c r="D15" s="23">
        <f>'Resid Cust Fcst '!$B16*'Resid TSM UC Adj'!D15</f>
        <v>0</v>
      </c>
      <c r="E15" s="41">
        <f>IF(SUM(B15:D15)=0,0,SUM(B15:D15)/'Resid Cust Fcst '!B16)</f>
        <v>0</v>
      </c>
      <c r="F15" s="109">
        <f>'Resid Cust Fcst '!$C16*'Resid TSM UC Adj'!F15</f>
        <v>0</v>
      </c>
      <c r="G15" s="23">
        <f>'Resid Cust Fcst '!$C16*'Resid TSM UC Adj'!G15</f>
        <v>0</v>
      </c>
      <c r="H15" s="23">
        <f>'Resid Cust Fcst '!$C16*'Resid TSM UC Adj'!H15</f>
        <v>0</v>
      </c>
      <c r="I15" s="41">
        <f>IF(SUM(F15:H15)=0,0,SUM(F15:H15)/'Resid Cust Fcst '!C16)</f>
        <v>0</v>
      </c>
      <c r="J15" s="109">
        <f>'Resid Cust Fcst '!$D16*'Resid TSM UC Adj'!J15</f>
        <v>0</v>
      </c>
      <c r="K15" s="23">
        <f>'Resid Cust Fcst '!$D16*'Resid TSM UC Adj'!K15</f>
        <v>0</v>
      </c>
      <c r="L15" s="23">
        <f>'Resid Cust Fcst '!$D16*'Resid TSM UC Adj'!L15</f>
        <v>0</v>
      </c>
      <c r="M15" s="41">
        <f>IF(SUM(J15:L15)=0,0,SUM(J15:L15)/'Resid Cust Fcst '!D16)</f>
        <v>0</v>
      </c>
      <c r="N15" s="109">
        <f>'Resid Cust Fcst '!$E16*'Resid TSM UC Adj'!N15</f>
        <v>0</v>
      </c>
      <c r="O15" s="23">
        <f>'Resid Cust Fcst '!$E16*'Resid TSM UC Adj'!O15</f>
        <v>0</v>
      </c>
      <c r="P15" s="23">
        <f>'Resid Cust Fcst '!$E16*'Resid TSM UC Adj'!P15</f>
        <v>0</v>
      </c>
      <c r="Q15" s="41">
        <f>IF(SUM(N15:P15)=0,0,SUM(N15:P15)/'Resid Cust Fcst '!E16)</f>
        <v>0</v>
      </c>
      <c r="R15" s="109">
        <f t="shared" si="2"/>
        <v>0</v>
      </c>
      <c r="S15" s="23">
        <f t="shared" si="0"/>
        <v>0</v>
      </c>
      <c r="T15" s="23">
        <f t="shared" si="0"/>
        <v>0</v>
      </c>
      <c r="U15" s="41">
        <f>IF(SUM(R15:T15)=0,0,SUM(R15:T15)/'Resid Cust Fcst '!F16)</f>
        <v>0</v>
      </c>
      <c r="V15" s="109">
        <f>'Resid Cust Fcst '!$G16*'Resid TSM UC Adj'!R15</f>
        <v>0</v>
      </c>
      <c r="W15" s="23">
        <f>'Resid Cust Fcst '!$G16*'Resid TSM UC Adj'!S15</f>
        <v>0</v>
      </c>
      <c r="X15" s="23">
        <f>'Resid Cust Fcst '!$G16*'Resid TSM UC Adj'!T15</f>
        <v>0</v>
      </c>
      <c r="Y15" s="41">
        <f>IF(SUM(V15:X15)=0,0,SUM(V15:X15)/'Resid Cust Fcst '!G16)</f>
        <v>0</v>
      </c>
      <c r="Z15" s="109">
        <f t="shared" si="3"/>
        <v>0</v>
      </c>
      <c r="AA15" s="23">
        <f t="shared" si="1"/>
        <v>0</v>
      </c>
      <c r="AB15" s="23">
        <f t="shared" si="1"/>
        <v>0</v>
      </c>
      <c r="AC15" s="41">
        <f>IF(SUM(Z15:AB15)=0,0,SUM(Z15:AB15)/'Resid Cust Fcst '!H16)</f>
        <v>0</v>
      </c>
    </row>
    <row r="16" spans="1:31">
      <c r="A16" s="124" t="s">
        <v>106</v>
      </c>
      <c r="B16" s="109">
        <f>'Resid Cust Fcst '!$B17*'Resid TSM UC Adj'!B16</f>
        <v>0</v>
      </c>
      <c r="C16" s="23">
        <f>'Resid Cust Fcst '!$B17*'Resid TSM UC Adj'!C16</f>
        <v>0</v>
      </c>
      <c r="D16" s="23">
        <f>'Resid Cust Fcst '!$B17*'Resid TSM UC Adj'!D16</f>
        <v>0</v>
      </c>
      <c r="E16" s="41">
        <f>IF(SUM(B16:D16)=0,0,SUM(B16:D16)/'Resid Cust Fcst '!B17)</f>
        <v>0</v>
      </c>
      <c r="F16" s="109">
        <f>'Resid Cust Fcst '!$C17*'Resid TSM UC Adj'!F16</f>
        <v>0</v>
      </c>
      <c r="G16" s="23">
        <f>'Resid Cust Fcst '!$C17*'Resid TSM UC Adj'!G16</f>
        <v>0</v>
      </c>
      <c r="H16" s="23">
        <f>'Resid Cust Fcst '!$C17*'Resid TSM UC Adj'!H16</f>
        <v>0</v>
      </c>
      <c r="I16" s="41">
        <f>IF(SUM(F16:H16)=0,0,SUM(F16:H16)/'Resid Cust Fcst '!C17)</f>
        <v>0</v>
      </c>
      <c r="J16" s="109">
        <f>'Resid Cust Fcst '!$D17*'Resid TSM UC Adj'!J16</f>
        <v>0</v>
      </c>
      <c r="K16" s="23">
        <f>'Resid Cust Fcst '!$D17*'Resid TSM UC Adj'!K16</f>
        <v>0</v>
      </c>
      <c r="L16" s="23">
        <f>'Resid Cust Fcst '!$D17*'Resid TSM UC Adj'!L16</f>
        <v>0</v>
      </c>
      <c r="M16" s="41">
        <f>IF(SUM(J16:L16)=0,0,SUM(J16:L16)/'Resid Cust Fcst '!D17)</f>
        <v>0</v>
      </c>
      <c r="N16" s="109">
        <f>'Resid Cust Fcst '!$E17*'Resid TSM UC Adj'!N16</f>
        <v>0</v>
      </c>
      <c r="O16" s="23">
        <f>'Resid Cust Fcst '!$E17*'Resid TSM UC Adj'!O16</f>
        <v>0</v>
      </c>
      <c r="P16" s="23">
        <f>'Resid Cust Fcst '!$E17*'Resid TSM UC Adj'!P16</f>
        <v>0</v>
      </c>
      <c r="Q16" s="41">
        <f>IF(SUM(N16:P16)=0,0,SUM(N16:P16)/'Resid Cust Fcst '!E17)</f>
        <v>0</v>
      </c>
      <c r="R16" s="109">
        <f t="shared" si="2"/>
        <v>0</v>
      </c>
      <c r="S16" s="23">
        <f t="shared" si="0"/>
        <v>0</v>
      </c>
      <c r="T16" s="23">
        <f t="shared" si="0"/>
        <v>0</v>
      </c>
      <c r="U16" s="41">
        <f>IF(SUM(R16:T16)=0,0,SUM(R16:T16)/'Resid Cust Fcst '!F17)</f>
        <v>0</v>
      </c>
      <c r="V16" s="109">
        <f>'Resid Cust Fcst '!$G17*'Resid TSM UC Adj'!R16</f>
        <v>0</v>
      </c>
      <c r="W16" s="23">
        <f>'Resid Cust Fcst '!$G17*'Resid TSM UC Adj'!S16</f>
        <v>0</v>
      </c>
      <c r="X16" s="23">
        <f>'Resid Cust Fcst '!$G17*'Resid TSM UC Adj'!T16</f>
        <v>0</v>
      </c>
      <c r="Y16" s="41">
        <f>IF(SUM(V16:X16)=0,0,SUM(V16:X16)/'Resid Cust Fcst '!G17)</f>
        <v>0</v>
      </c>
      <c r="Z16" s="109">
        <f t="shared" si="3"/>
        <v>0</v>
      </c>
      <c r="AA16" s="23">
        <f t="shared" si="1"/>
        <v>0</v>
      </c>
      <c r="AB16" s="23">
        <f t="shared" si="1"/>
        <v>0</v>
      </c>
      <c r="AC16" s="41">
        <f>IF(SUM(Z16:AB16)=0,0,SUM(Z16:AB16)/'Resid Cust Fcst '!H17)</f>
        <v>0</v>
      </c>
    </row>
    <row r="17" spans="1:29">
      <c r="A17" s="124" t="s">
        <v>107</v>
      </c>
      <c r="B17" s="109">
        <f>'Resid Cust Fcst '!$B18*'Resid TSM UC Adj'!J17</f>
        <v>0</v>
      </c>
      <c r="C17" s="23">
        <f>'Resid Cust Fcst '!$B18*'Resid TSM UC Adj'!K17</f>
        <v>0</v>
      </c>
      <c r="D17" s="23">
        <f>'Resid Cust Fcst '!$B18*'Resid TSM UC Adj'!L17</f>
        <v>0</v>
      </c>
      <c r="E17" s="41">
        <f>IF(SUM(B17:D17)=0,0,SUM(B17:D17)/'Resid Cust Fcst '!B18)</f>
        <v>0</v>
      </c>
      <c r="F17" s="109">
        <f>'Resid Cust Fcst '!$C18*'Resid TSM UC Adj'!F17</f>
        <v>0</v>
      </c>
      <c r="G17" s="23">
        <f>'Resid Cust Fcst '!$C18*'Resid TSM UC Adj'!G17</f>
        <v>0</v>
      </c>
      <c r="H17" s="23">
        <f>'Resid Cust Fcst '!$C18*'Resid TSM UC Adj'!H17</f>
        <v>0</v>
      </c>
      <c r="I17" s="41">
        <f>IF(SUM(F17:H17)=0,0,SUM(F17:H17)/'Resid Cust Fcst '!C18)</f>
        <v>0</v>
      </c>
      <c r="J17" s="109">
        <f>'Resid Cust Fcst '!$D18*'Resid TSM UC Adj'!J17</f>
        <v>0</v>
      </c>
      <c r="K17" s="23">
        <f>'Resid Cust Fcst '!$D18*'Resid TSM UC Adj'!K17</f>
        <v>0</v>
      </c>
      <c r="L17" s="23">
        <f>'Resid Cust Fcst '!$D18*'Resid TSM UC Adj'!L17</f>
        <v>0</v>
      </c>
      <c r="M17" s="41">
        <f>IF(SUM(J17:L17)=0,0,SUM(J17:L17)/'Resid Cust Fcst '!D18)</f>
        <v>0</v>
      </c>
      <c r="N17" s="109">
        <f>'Resid Cust Fcst '!$E18*'Resid TSM UC Adj'!N17</f>
        <v>0</v>
      </c>
      <c r="O17" s="23">
        <f>'Resid Cust Fcst '!$E18*'Resid TSM UC Adj'!O17</f>
        <v>0</v>
      </c>
      <c r="P17" s="23">
        <f>'Resid Cust Fcst '!$E18*'Resid TSM UC Adj'!P17</f>
        <v>0</v>
      </c>
      <c r="Q17" s="41">
        <f>IF(SUM(N17:P17)=0,0,SUM(N17:P17)/'Resid Cust Fcst '!E18)</f>
        <v>0</v>
      </c>
      <c r="R17" s="109">
        <f t="shared" si="2"/>
        <v>0</v>
      </c>
      <c r="S17" s="23">
        <f t="shared" si="0"/>
        <v>0</v>
      </c>
      <c r="T17" s="23">
        <f t="shared" si="0"/>
        <v>0</v>
      </c>
      <c r="U17" s="41">
        <f>IF(SUM(R17:T17)=0,0,SUM(R17:T17)/'Resid Cust Fcst '!F18)</f>
        <v>0</v>
      </c>
      <c r="V17" s="109">
        <f>'Resid Cust Fcst '!$G18*'Resid TSM UC Adj'!R17</f>
        <v>0</v>
      </c>
      <c r="W17" s="23">
        <f>'Resid Cust Fcst '!$G18*'Resid TSM UC Adj'!S17</f>
        <v>0</v>
      </c>
      <c r="X17" s="23">
        <f>'Resid Cust Fcst '!$G18*'Resid TSM UC Adj'!T17</f>
        <v>0</v>
      </c>
      <c r="Y17" s="41">
        <f>IF(SUM(V17:X17)=0,0,SUM(V17:X17)/'Resid Cust Fcst '!G18)</f>
        <v>0</v>
      </c>
      <c r="Z17" s="109">
        <f t="shared" si="3"/>
        <v>0</v>
      </c>
      <c r="AA17" s="23">
        <f t="shared" si="1"/>
        <v>0</v>
      </c>
      <c r="AB17" s="23">
        <f t="shared" si="1"/>
        <v>0</v>
      </c>
      <c r="AC17" s="41">
        <f>IF(SUM(Z17:AB17)=0,0,SUM(Z17:AB17)/'Resid Cust Fcst '!H18)</f>
        <v>0</v>
      </c>
    </row>
    <row r="18" spans="1:29">
      <c r="A18" s="124" t="s">
        <v>12</v>
      </c>
      <c r="B18" s="109">
        <f>'Resid Cust Fcst '!$B19*'Resid TSM UC Adj'!J18</f>
        <v>0</v>
      </c>
      <c r="C18" s="23">
        <f>'Resid Cust Fcst '!$B19*'Resid TSM UC Adj'!K18</f>
        <v>0</v>
      </c>
      <c r="D18" s="23">
        <f>'Resid Cust Fcst '!$B19*'Resid TSM UC Adj'!L18</f>
        <v>0</v>
      </c>
      <c r="E18" s="41">
        <f>IF(SUM(B18:D18)=0,0,SUM(B18:D18)/'Resid Cust Fcst '!B19)</f>
        <v>0</v>
      </c>
      <c r="F18" s="109">
        <f>'Resid Cust Fcst '!$C19*'Resid TSM UC Adj'!J18</f>
        <v>0</v>
      </c>
      <c r="G18" s="23">
        <f>'Resid Cust Fcst '!$C19*'Resid TSM UC Adj'!K18</f>
        <v>0</v>
      </c>
      <c r="H18" s="23">
        <f>'Resid Cust Fcst '!$C19*'Resid TSM UC Adj'!L18</f>
        <v>0</v>
      </c>
      <c r="I18" s="41">
        <f>IF(SUM(F18:H18)=0,0,SUM(F18:H18)/'Resid Cust Fcst '!C19)</f>
        <v>0</v>
      </c>
      <c r="J18" s="109">
        <f>'Resid Cust Fcst '!$D19*'Resid TSM UC Adj'!J18</f>
        <v>0</v>
      </c>
      <c r="K18" s="23">
        <f>'Resid Cust Fcst '!$D19*'Resid TSM UC Adj'!K18</f>
        <v>0</v>
      </c>
      <c r="L18" s="23">
        <f>'Resid Cust Fcst '!$D19*'Resid TSM UC Adj'!L18</f>
        <v>0</v>
      </c>
      <c r="M18" s="41">
        <f>IF(SUM(J18:L18)=0,0,SUM(J18:L18)/'Resid Cust Fcst '!D19)</f>
        <v>0</v>
      </c>
      <c r="N18" s="109">
        <f>'Resid Cust Fcst '!$E19*'Resid TSM UC Adj'!N18</f>
        <v>0</v>
      </c>
      <c r="O18" s="23">
        <f>'Resid Cust Fcst '!$E19*'Resid TSM UC Adj'!O18</f>
        <v>0</v>
      </c>
      <c r="P18" s="23">
        <f>'Resid Cust Fcst '!$E19*'Resid TSM UC Adj'!P18</f>
        <v>0</v>
      </c>
      <c r="Q18" s="41">
        <f>IF(SUM(N18:P18)=0,0,SUM(N18:P18)/'Resid Cust Fcst '!E19)</f>
        <v>0</v>
      </c>
      <c r="R18" s="109">
        <f t="shared" si="2"/>
        <v>0</v>
      </c>
      <c r="S18" s="23">
        <f t="shared" si="0"/>
        <v>0</v>
      </c>
      <c r="T18" s="23">
        <f t="shared" si="0"/>
        <v>0</v>
      </c>
      <c r="U18" s="41">
        <f>IF(SUM(R18:T18)=0,0,SUM(R18:T18)/'Resid Cust Fcst '!F19)</f>
        <v>0</v>
      </c>
      <c r="V18" s="109">
        <f>'Resid Cust Fcst '!$G19*'Resid TSM UC Adj'!R18</f>
        <v>0</v>
      </c>
      <c r="W18" s="23">
        <f>'Resid Cust Fcst '!$G19*'Resid TSM UC Adj'!S18</f>
        <v>0</v>
      </c>
      <c r="X18" s="23">
        <f>'Resid Cust Fcst '!$G19*'Resid TSM UC Adj'!T18</f>
        <v>0</v>
      </c>
      <c r="Y18" s="41">
        <f>IF(SUM(V18:X18)=0,0,SUM(V18:X18)/'Resid Cust Fcst '!G19)</f>
        <v>0</v>
      </c>
      <c r="Z18" s="109">
        <f t="shared" si="3"/>
        <v>0</v>
      </c>
      <c r="AA18" s="23">
        <f t="shared" si="1"/>
        <v>0</v>
      </c>
      <c r="AB18" s="23">
        <f t="shared" si="1"/>
        <v>0</v>
      </c>
      <c r="AC18" s="41">
        <f>IF(SUM(Z18:AB18)=0,0,SUM(Z18:AB18)/'Resid Cust Fcst '!H19)</f>
        <v>0</v>
      </c>
    </row>
    <row r="19" spans="1:29" s="52" customFormat="1">
      <c r="A19" s="106" t="s">
        <v>13</v>
      </c>
      <c r="B19" s="109">
        <f>'Resid Cust Fcst '!$B20*'Resid TSM UC Adj'!J19</f>
        <v>0</v>
      </c>
      <c r="C19" s="23">
        <f>'Resid Cust Fcst '!$B20*'Resid TSM UC Adj'!K19</f>
        <v>0</v>
      </c>
      <c r="D19" s="23">
        <f>'Resid Cust Fcst '!$B20*'Resid TSM UC Adj'!L19</f>
        <v>0</v>
      </c>
      <c r="E19" s="41">
        <f>IF(SUM(B19:D19)=0,0,SUM(B19:D19)/'Resid Cust Fcst '!B20)</f>
        <v>0</v>
      </c>
      <c r="F19" s="109">
        <f>'Resid Cust Fcst '!$C20*'Resid TSM UC Adj'!J19</f>
        <v>0</v>
      </c>
      <c r="G19" s="23">
        <f>'Resid Cust Fcst '!$C20*'Resid TSM UC Adj'!K19</f>
        <v>0</v>
      </c>
      <c r="H19" s="23">
        <f>'Resid Cust Fcst '!$C20*'Resid TSM UC Adj'!L19</f>
        <v>0</v>
      </c>
      <c r="I19" s="41">
        <f>IF(SUM(F19:H19)=0,0,SUM(F19:H19)/'Resid Cust Fcst '!C20)</f>
        <v>0</v>
      </c>
      <c r="J19" s="109">
        <f>'Resid Cust Fcst '!$D20*'Resid TSM UC Adj'!J19</f>
        <v>0</v>
      </c>
      <c r="K19" s="23">
        <f>'Resid Cust Fcst '!$D20*'Resid TSM UC Adj'!K19</f>
        <v>0</v>
      </c>
      <c r="L19" s="23">
        <f>'Resid Cust Fcst '!$D20*'Resid TSM UC Adj'!L19</f>
        <v>0</v>
      </c>
      <c r="M19" s="41">
        <f>IF(SUM(J19:L19)=0,0,SUM(J19:L19)/'Resid Cust Fcst '!D20)</f>
        <v>0</v>
      </c>
      <c r="N19" s="109">
        <f>'Resid Cust Fcst '!$E20*'Resid TSM UC Adj'!N19</f>
        <v>0</v>
      </c>
      <c r="O19" s="23">
        <f>'Resid Cust Fcst '!$E20*'Resid TSM UC Adj'!O19</f>
        <v>0</v>
      </c>
      <c r="P19" s="23">
        <f>'Resid Cust Fcst '!$E20*'Resid TSM UC Adj'!P19</f>
        <v>0</v>
      </c>
      <c r="Q19" s="41">
        <f>IF(SUM(N19:P19)=0,0,SUM(N19:P19)/'Resid Cust Fcst '!E20)</f>
        <v>0</v>
      </c>
      <c r="R19" s="109">
        <f t="shared" si="2"/>
        <v>0</v>
      </c>
      <c r="S19" s="23">
        <f t="shared" si="0"/>
        <v>0</v>
      </c>
      <c r="T19" s="23">
        <f t="shared" si="0"/>
        <v>0</v>
      </c>
      <c r="U19" s="41">
        <f>IF(SUM(R19:T19)=0,0,SUM(R19:T19)/'Resid Cust Fcst '!F20)</f>
        <v>0</v>
      </c>
      <c r="V19" s="109">
        <f>'Resid Cust Fcst '!$G20*'Resid TSM UC Adj'!R19</f>
        <v>0</v>
      </c>
      <c r="W19" s="23">
        <f>'Resid Cust Fcst '!$G20*'Resid TSM UC Adj'!S19</f>
        <v>0</v>
      </c>
      <c r="X19" s="23">
        <f>'Resid Cust Fcst '!$G20*'Resid TSM UC Adj'!T19</f>
        <v>0</v>
      </c>
      <c r="Y19" s="41">
        <f>IF(SUM(V19:X19)=0,0,SUM(V19:X19)/'Resid Cust Fcst '!G20)</f>
        <v>0</v>
      </c>
      <c r="Z19" s="109">
        <f t="shared" si="3"/>
        <v>0</v>
      </c>
      <c r="AA19" s="23">
        <f t="shared" si="1"/>
        <v>0</v>
      </c>
      <c r="AB19" s="23">
        <f t="shared" si="1"/>
        <v>0</v>
      </c>
      <c r="AC19" s="41">
        <f>IF(SUM(Z19:AB19)=0,0,SUM(Z19:AB19)/'Resid Cust Fcst '!H20)</f>
        <v>0</v>
      </c>
    </row>
    <row r="20" spans="1:29">
      <c r="A20" s="124" t="s">
        <v>108</v>
      </c>
      <c r="B20" s="109">
        <f>'Resid Cust Fcst '!$B21*'Resid TSM UC Adj'!J20</f>
        <v>0</v>
      </c>
      <c r="C20" s="23">
        <f>'Resid Cust Fcst '!$B21*'Resid TSM UC Adj'!K20</f>
        <v>0</v>
      </c>
      <c r="D20" s="23">
        <f>'Resid Cust Fcst '!$B21*'Resid TSM UC Adj'!L20</f>
        <v>0</v>
      </c>
      <c r="E20" s="41">
        <f>IF(SUM(B20:D20)=0,0,SUM(B20:D20)/'Resid Cust Fcst '!B21)</f>
        <v>0</v>
      </c>
      <c r="F20" s="109">
        <f>'Resid Cust Fcst '!$C21*'Resid TSM UC Adj'!J20</f>
        <v>0</v>
      </c>
      <c r="G20" s="23">
        <f>'Resid Cust Fcst '!$C21*'Resid TSM UC Adj'!K20</f>
        <v>0</v>
      </c>
      <c r="H20" s="23">
        <f>'Resid Cust Fcst '!$C21*'Resid TSM UC Adj'!L20</f>
        <v>0</v>
      </c>
      <c r="I20" s="41">
        <f>IF(SUM(F20:H20)=0,0,SUM(F20:H20)/'Resid Cust Fcst '!C21)</f>
        <v>0</v>
      </c>
      <c r="J20" s="109">
        <f>'Resid Cust Fcst '!$D21*'Resid TSM UC Adj'!J20</f>
        <v>0</v>
      </c>
      <c r="K20" s="23">
        <f>'Resid Cust Fcst '!$D21*'Resid TSM UC Adj'!K20</f>
        <v>0</v>
      </c>
      <c r="L20" s="23">
        <f>'Resid Cust Fcst '!$D21*'Resid TSM UC Adj'!L20</f>
        <v>0</v>
      </c>
      <c r="M20" s="41">
        <f>IF(SUM(J20:L20)=0,0,SUM(J20:L20)/'Resid Cust Fcst '!D21)</f>
        <v>0</v>
      </c>
      <c r="N20" s="109">
        <f>'Resid Cust Fcst '!$E21*'Resid TSM UC Adj'!N20</f>
        <v>0</v>
      </c>
      <c r="O20" s="23">
        <f>'Resid Cust Fcst '!$E21*'Resid TSM UC Adj'!O20</f>
        <v>0</v>
      </c>
      <c r="P20" s="23">
        <f>'Resid Cust Fcst '!$E21*'Resid TSM UC Adj'!P20</f>
        <v>0</v>
      </c>
      <c r="Q20" s="41">
        <f>IF(SUM(N20:P20)=0,0,SUM(N20:P20)/'Resid Cust Fcst '!E21)</f>
        <v>0</v>
      </c>
      <c r="R20" s="109">
        <f t="shared" si="2"/>
        <v>0</v>
      </c>
      <c r="S20" s="23">
        <f t="shared" si="0"/>
        <v>0</v>
      </c>
      <c r="T20" s="23">
        <f t="shared" si="0"/>
        <v>0</v>
      </c>
      <c r="U20" s="41">
        <f>IF(SUM(R20:T20)=0,0,SUM(R20:T20)/'Resid Cust Fcst '!F21)</f>
        <v>0</v>
      </c>
      <c r="V20" s="109">
        <f>'Resid Cust Fcst '!$G21*'Resid TSM UC Adj'!R20</f>
        <v>0</v>
      </c>
      <c r="W20" s="23">
        <f>'Resid Cust Fcst '!$G21*'Resid TSM UC Adj'!S20</f>
        <v>0</v>
      </c>
      <c r="X20" s="23">
        <f>'Resid Cust Fcst '!$G21*'Resid TSM UC Adj'!T20</f>
        <v>0</v>
      </c>
      <c r="Y20" s="41">
        <f>IF(SUM(V20:X20)=0,0,SUM(V20:X20)/'Resid Cust Fcst '!G21)</f>
        <v>0</v>
      </c>
      <c r="Z20" s="109">
        <f t="shared" si="3"/>
        <v>0</v>
      </c>
      <c r="AA20" s="23">
        <f t="shared" si="1"/>
        <v>0</v>
      </c>
      <c r="AB20" s="23">
        <f t="shared" si="1"/>
        <v>0</v>
      </c>
      <c r="AC20" s="41">
        <f>IF(SUM(Z20:AB20)=0,0,SUM(Z20:AB20)/'Resid Cust Fcst '!H21)</f>
        <v>0</v>
      </c>
    </row>
    <row r="21" spans="1:29">
      <c r="A21" s="124" t="s">
        <v>109</v>
      </c>
      <c r="B21" s="109">
        <f>'Resid Cust Fcst '!$B22*'Resid TSM UC Adj'!J21</f>
        <v>0</v>
      </c>
      <c r="C21" s="23">
        <f>'Resid Cust Fcst '!$B22*'Resid TSM UC Adj'!K21</f>
        <v>0</v>
      </c>
      <c r="D21" s="23">
        <f>'Resid Cust Fcst '!$B22*'Resid TSM UC Adj'!L21</f>
        <v>0</v>
      </c>
      <c r="E21" s="41">
        <f>IF(SUM(B21:D21)=0,0,SUM(B21:D21)/'Resid Cust Fcst '!B22)</f>
        <v>0</v>
      </c>
      <c r="F21" s="109">
        <f>'Resid Cust Fcst '!$C22*'Resid TSM UC Adj'!J21</f>
        <v>0</v>
      </c>
      <c r="G21" s="23">
        <f>'Resid Cust Fcst '!$C22*'Resid TSM UC Adj'!K21</f>
        <v>0</v>
      </c>
      <c r="H21" s="23">
        <f>'Resid Cust Fcst '!$C22*'Resid TSM UC Adj'!L21</f>
        <v>0</v>
      </c>
      <c r="I21" s="41">
        <f>IF(SUM(F21:H21)=0,0,SUM(F21:H21)/'Resid Cust Fcst '!C22)</f>
        <v>0</v>
      </c>
      <c r="J21" s="109">
        <f>'Resid Cust Fcst '!$D22*'Resid TSM UC Adj'!J21</f>
        <v>0</v>
      </c>
      <c r="K21" s="23">
        <f>'Resid Cust Fcst '!$D22*'Resid TSM UC Adj'!K21</f>
        <v>0</v>
      </c>
      <c r="L21" s="23">
        <f>'Resid Cust Fcst '!$D22*'Resid TSM UC Adj'!L21</f>
        <v>0</v>
      </c>
      <c r="M21" s="41">
        <f>IF(SUM(J21:L21)=0,0,SUM(J21:L21)/'Resid Cust Fcst '!D22)</f>
        <v>0</v>
      </c>
      <c r="N21" s="109">
        <f>'Resid Cust Fcst '!$E22*'Resid TSM UC Adj'!N21</f>
        <v>0</v>
      </c>
      <c r="O21" s="23">
        <f>'Resid Cust Fcst '!$E22*'Resid TSM UC Adj'!O21</f>
        <v>0</v>
      </c>
      <c r="P21" s="23">
        <f>'Resid Cust Fcst '!$E22*'Resid TSM UC Adj'!P21</f>
        <v>0</v>
      </c>
      <c r="Q21" s="41">
        <f>IF(SUM(N21:P21)=0,0,SUM(N21:P21)/'Resid Cust Fcst '!E22)</f>
        <v>0</v>
      </c>
      <c r="R21" s="109">
        <f t="shared" si="2"/>
        <v>0</v>
      </c>
      <c r="S21" s="23">
        <f t="shared" si="0"/>
        <v>0</v>
      </c>
      <c r="T21" s="23">
        <f t="shared" si="0"/>
        <v>0</v>
      </c>
      <c r="U21" s="41">
        <f>IF(SUM(R21:T21)=0,0,SUM(R21:T21)/'Resid Cust Fcst '!F22)</f>
        <v>0</v>
      </c>
      <c r="V21" s="109">
        <f>'Resid Cust Fcst '!$G22*'Resid TSM UC Adj'!R21</f>
        <v>0</v>
      </c>
      <c r="W21" s="23">
        <f>'Resid Cust Fcst '!$G22*'Resid TSM UC Adj'!S21</f>
        <v>0</v>
      </c>
      <c r="X21" s="23">
        <f>'Resid Cust Fcst '!$G22*'Resid TSM UC Adj'!T21</f>
        <v>0</v>
      </c>
      <c r="Y21" s="41">
        <f>IF(SUM(V21:X21)=0,0,SUM(V21:X21)/'Resid Cust Fcst '!G22)</f>
        <v>0</v>
      </c>
      <c r="Z21" s="109">
        <f t="shared" si="3"/>
        <v>0</v>
      </c>
      <c r="AA21" s="23">
        <f t="shared" si="1"/>
        <v>0</v>
      </c>
      <c r="AB21" s="23">
        <f t="shared" si="1"/>
        <v>0</v>
      </c>
      <c r="AC21" s="41">
        <f>IF(SUM(Z21:AB21)=0,0,SUM(Z21:AB21)/'Resid Cust Fcst '!H22)</f>
        <v>0</v>
      </c>
    </row>
    <row r="22" spans="1:29">
      <c r="A22" s="124" t="s">
        <v>14</v>
      </c>
      <c r="B22" s="109">
        <f>'Resid Cust Fcst '!$B23*'Resid TSM UC Adj'!J22</f>
        <v>0</v>
      </c>
      <c r="C22" s="23">
        <f>'Resid Cust Fcst '!$B23*'Resid TSM UC Adj'!K22</f>
        <v>0</v>
      </c>
      <c r="D22" s="23">
        <f>'Resid Cust Fcst '!$B23*'Resid TSM UC Adj'!L22</f>
        <v>0</v>
      </c>
      <c r="E22" s="41">
        <f>IF(SUM(B22:D22)=0,0,SUM(B22:D22)/'Resid Cust Fcst '!B23)</f>
        <v>0</v>
      </c>
      <c r="F22" s="109">
        <f>'Resid Cust Fcst '!$C23*'Resid TSM UC Adj'!J22</f>
        <v>0</v>
      </c>
      <c r="G22" s="23">
        <f>'Resid Cust Fcst '!$C23*'Resid TSM UC Adj'!K22</f>
        <v>0</v>
      </c>
      <c r="H22" s="23">
        <f>'Resid Cust Fcst '!$C23*'Resid TSM UC Adj'!L22</f>
        <v>0</v>
      </c>
      <c r="I22" s="41">
        <f>IF(SUM(F22:H22)=0,0,SUM(F22:H22)/'Resid Cust Fcst '!C23)</f>
        <v>0</v>
      </c>
      <c r="J22" s="109">
        <f>'Resid Cust Fcst '!$D23*'Resid TSM UC Adj'!J22</f>
        <v>0</v>
      </c>
      <c r="K22" s="23">
        <f>'Resid Cust Fcst '!$D23*'Resid TSM UC Adj'!K22</f>
        <v>0</v>
      </c>
      <c r="L22" s="23">
        <f>'Resid Cust Fcst '!$D23*'Resid TSM UC Adj'!L22</f>
        <v>0</v>
      </c>
      <c r="M22" s="41">
        <f>IF(SUM(J22:L22)=0,0,SUM(J22:L22)/'Resid Cust Fcst '!D23)</f>
        <v>0</v>
      </c>
      <c r="N22" s="109">
        <f>'Resid Cust Fcst '!$E23*'Resid TSM UC Adj'!N22</f>
        <v>0</v>
      </c>
      <c r="O22" s="23">
        <f>'Resid Cust Fcst '!$E23*'Resid TSM UC Adj'!O22</f>
        <v>0</v>
      </c>
      <c r="P22" s="23">
        <f>'Resid Cust Fcst '!$E23*'Resid TSM UC Adj'!P22</f>
        <v>0</v>
      </c>
      <c r="Q22" s="41">
        <f>IF(SUM(N22:P22)=0,0,SUM(N22:P22)/'Resid Cust Fcst '!E23)</f>
        <v>0</v>
      </c>
      <c r="R22" s="109">
        <f t="shared" si="2"/>
        <v>0</v>
      </c>
      <c r="S22" s="23">
        <f t="shared" si="0"/>
        <v>0</v>
      </c>
      <c r="T22" s="23">
        <f t="shared" si="0"/>
        <v>0</v>
      </c>
      <c r="U22" s="41">
        <f>IF(SUM(R22:T22)=0,0,SUM(R22:T22)/'Resid Cust Fcst '!F23)</f>
        <v>0</v>
      </c>
      <c r="V22" s="109">
        <f>'Resid Cust Fcst '!$G23*'Resid TSM UC Adj'!R22</f>
        <v>0</v>
      </c>
      <c r="W22" s="23">
        <f>'Resid Cust Fcst '!$G23*'Resid TSM UC Adj'!S22</f>
        <v>0</v>
      </c>
      <c r="X22" s="23">
        <f>'Resid Cust Fcst '!$G23*'Resid TSM UC Adj'!T22</f>
        <v>0</v>
      </c>
      <c r="Y22" s="41">
        <f>IF(SUM(V22:X22)=0,0,SUM(V22:X22)/'Resid Cust Fcst '!G23)</f>
        <v>0</v>
      </c>
      <c r="Z22" s="109">
        <f t="shared" si="3"/>
        <v>0</v>
      </c>
      <c r="AA22" s="23">
        <f t="shared" si="1"/>
        <v>0</v>
      </c>
      <c r="AB22" s="23">
        <f t="shared" si="1"/>
        <v>0</v>
      </c>
      <c r="AC22" s="41">
        <f>IF(SUM(Z22:AB22)=0,0,SUM(Z22:AB22)/'Resid Cust Fcst '!H23)</f>
        <v>0</v>
      </c>
    </row>
    <row r="23" spans="1:29">
      <c r="A23" s="124" t="s">
        <v>15</v>
      </c>
      <c r="B23" s="109">
        <f>'Resid Cust Fcst '!$B24*'Resid TSM UC Adj'!J23</f>
        <v>0</v>
      </c>
      <c r="C23" s="23">
        <f>'Resid Cust Fcst '!$B24*'Resid TSM UC Adj'!K23</f>
        <v>0</v>
      </c>
      <c r="D23" s="23">
        <f>'Resid Cust Fcst '!$B24*'Resid TSM UC Adj'!L23</f>
        <v>0</v>
      </c>
      <c r="E23" s="41">
        <f>IF(SUM(B23:D23)=0,0,SUM(B23:D23)/'Resid Cust Fcst '!B24)</f>
        <v>0</v>
      </c>
      <c r="F23" s="109">
        <f>'Resid Cust Fcst '!$C24*'Resid TSM UC Adj'!J23</f>
        <v>0</v>
      </c>
      <c r="G23" s="23">
        <f>'Resid Cust Fcst '!$C24*'Resid TSM UC Adj'!K23</f>
        <v>0</v>
      </c>
      <c r="H23" s="23">
        <f>'Resid Cust Fcst '!$C24*'Resid TSM UC Adj'!L23</f>
        <v>0</v>
      </c>
      <c r="I23" s="41">
        <f>IF(SUM(F23:H23)=0,0,SUM(F23:H23)/'Resid Cust Fcst '!C24)</f>
        <v>0</v>
      </c>
      <c r="J23" s="109">
        <f>'Resid Cust Fcst '!$D24*'Resid TSM UC Adj'!J23</f>
        <v>0</v>
      </c>
      <c r="K23" s="23">
        <f>'Resid Cust Fcst '!$D24*'Resid TSM UC Adj'!K23</f>
        <v>0</v>
      </c>
      <c r="L23" s="23">
        <f>'Resid Cust Fcst '!$D24*'Resid TSM UC Adj'!L23</f>
        <v>0</v>
      </c>
      <c r="M23" s="41">
        <f>IF(SUM(J23:L23)=0,0,SUM(J23:L23)/'Resid Cust Fcst '!D24)</f>
        <v>0</v>
      </c>
      <c r="N23" s="109">
        <f>'Resid Cust Fcst '!$E24*'Resid TSM UC Adj'!N23</f>
        <v>0</v>
      </c>
      <c r="O23" s="23">
        <f>'Resid Cust Fcst '!$E24*'Resid TSM UC Adj'!O23</f>
        <v>0</v>
      </c>
      <c r="P23" s="23">
        <f>'Resid Cust Fcst '!$E24*'Resid TSM UC Adj'!P23</f>
        <v>0</v>
      </c>
      <c r="Q23" s="41">
        <f>IF(SUM(N23:P23)=0,0,SUM(N23:P23)/'Resid Cust Fcst '!E24)</f>
        <v>0</v>
      </c>
      <c r="R23" s="109">
        <f t="shared" si="2"/>
        <v>0</v>
      </c>
      <c r="S23" s="23">
        <f t="shared" ref="S23:S37" si="4">C23+G23+K23+O23</f>
        <v>0</v>
      </c>
      <c r="T23" s="23">
        <f t="shared" ref="T23:T37" si="5">D23+H23+L23+P23</f>
        <v>0</v>
      </c>
      <c r="U23" s="41">
        <f>IF(SUM(R23:T23)=0,0,SUM(R23:T23)/'Resid Cust Fcst '!F24)</f>
        <v>0</v>
      </c>
      <c r="V23" s="109">
        <f>'Resid Cust Fcst '!$G24*'Resid TSM UC Adj'!R23</f>
        <v>0</v>
      </c>
      <c r="W23" s="23">
        <f>'Resid Cust Fcst '!$G24*'Resid TSM UC Adj'!S23</f>
        <v>0</v>
      </c>
      <c r="X23" s="23">
        <f>'Resid Cust Fcst '!$G24*'Resid TSM UC Adj'!T23</f>
        <v>0</v>
      </c>
      <c r="Y23" s="41">
        <f>IF(SUM(V23:X23)=0,0,SUM(V23:X23)/'Resid Cust Fcst '!G24)</f>
        <v>0</v>
      </c>
      <c r="Z23" s="109">
        <f t="shared" si="3"/>
        <v>0</v>
      </c>
      <c r="AA23" s="23">
        <f t="shared" ref="AA23:AA37" si="6">S23+W23</f>
        <v>0</v>
      </c>
      <c r="AB23" s="23">
        <f t="shared" ref="AB23:AB37" si="7">T23+X23</f>
        <v>0</v>
      </c>
      <c r="AC23" s="41">
        <f>IF(SUM(Z23:AB23)=0,0,SUM(Z23:AB23)/'Resid Cust Fcst '!H24)</f>
        <v>0</v>
      </c>
    </row>
    <row r="24" spans="1:29">
      <c r="A24" s="124" t="s">
        <v>16</v>
      </c>
      <c r="B24" s="109">
        <f>'Resid Cust Fcst '!$B25*'Resid TSM UC Adj'!J24</f>
        <v>0</v>
      </c>
      <c r="C24" s="23">
        <f>'Resid Cust Fcst '!$B25*'Resid TSM UC Adj'!K24</f>
        <v>0</v>
      </c>
      <c r="D24" s="23">
        <f>'Resid Cust Fcst '!$B25*'Resid TSM UC Adj'!L24</f>
        <v>0</v>
      </c>
      <c r="E24" s="41">
        <f>IF(SUM(B24:D24)=0,0,SUM(B24:D24)/'Resid Cust Fcst '!B25)</f>
        <v>0</v>
      </c>
      <c r="F24" s="109">
        <f>'Resid Cust Fcst '!$C25*'Resid TSM UC Adj'!J24</f>
        <v>0</v>
      </c>
      <c r="G24" s="23">
        <f>'Resid Cust Fcst '!$C25*'Resid TSM UC Adj'!K24</f>
        <v>0</v>
      </c>
      <c r="H24" s="23">
        <f>'Resid Cust Fcst '!$C25*'Resid TSM UC Adj'!L24</f>
        <v>0</v>
      </c>
      <c r="I24" s="41">
        <f>IF(SUM(F24:H24)=0,0,SUM(F24:H24)/'Resid Cust Fcst '!C25)</f>
        <v>0</v>
      </c>
      <c r="J24" s="109">
        <f>'Resid Cust Fcst '!$D25*'Resid TSM UC Adj'!J24</f>
        <v>0</v>
      </c>
      <c r="K24" s="23">
        <f>'Resid Cust Fcst '!$D25*'Resid TSM UC Adj'!K24</f>
        <v>0</v>
      </c>
      <c r="L24" s="23">
        <f>'Resid Cust Fcst '!$D25*'Resid TSM UC Adj'!L24</f>
        <v>0</v>
      </c>
      <c r="M24" s="41">
        <f>IF(SUM(J24:L24)=0,0,SUM(J24:L24)/'Resid Cust Fcst '!D25)</f>
        <v>0</v>
      </c>
      <c r="N24" s="109">
        <f>'Resid Cust Fcst '!$E25*'Resid TSM UC Adj'!N24</f>
        <v>0</v>
      </c>
      <c r="O24" s="23">
        <f>'Resid Cust Fcst '!$E25*'Resid TSM UC Adj'!O24</f>
        <v>0</v>
      </c>
      <c r="P24" s="23">
        <f>'Resid Cust Fcst '!$E25*'Resid TSM UC Adj'!P24</f>
        <v>0</v>
      </c>
      <c r="Q24" s="41">
        <f>IF(SUM(N24:P24)=0,0,SUM(N24:P24)/'Resid Cust Fcst '!E25)</f>
        <v>0</v>
      </c>
      <c r="R24" s="109">
        <f t="shared" si="2"/>
        <v>0</v>
      </c>
      <c r="S24" s="23">
        <f t="shared" si="4"/>
        <v>0</v>
      </c>
      <c r="T24" s="23">
        <f t="shared" si="5"/>
        <v>0</v>
      </c>
      <c r="U24" s="41">
        <f>IF(SUM(R24:T24)=0,0,SUM(R24:T24)/'Resid Cust Fcst '!F25)</f>
        <v>0</v>
      </c>
      <c r="V24" s="109">
        <f>'Resid Cust Fcst '!$G25*'Resid TSM UC Adj'!R24</f>
        <v>0</v>
      </c>
      <c r="W24" s="23">
        <f>'Resid Cust Fcst '!$G25*'Resid TSM UC Adj'!S24</f>
        <v>0</v>
      </c>
      <c r="X24" s="23">
        <f>'Resid Cust Fcst '!$G25*'Resid TSM UC Adj'!T24</f>
        <v>0</v>
      </c>
      <c r="Y24" s="41">
        <f>IF(SUM(V24:X24)=0,0,SUM(V24:X24)/'Resid Cust Fcst '!G25)</f>
        <v>0</v>
      </c>
      <c r="Z24" s="109">
        <f t="shared" si="3"/>
        <v>0</v>
      </c>
      <c r="AA24" s="23">
        <f t="shared" si="6"/>
        <v>0</v>
      </c>
      <c r="AB24" s="23">
        <f t="shared" si="7"/>
        <v>0</v>
      </c>
      <c r="AC24" s="41">
        <f>IF(SUM(Z24:AB24)=0,0,SUM(Z24:AB24)/'Resid Cust Fcst '!H25)</f>
        <v>0</v>
      </c>
    </row>
    <row r="25" spans="1:29">
      <c r="A25" s="124" t="s">
        <v>17</v>
      </c>
      <c r="B25" s="109">
        <f>'Resid Cust Fcst '!$B26*'Resid TSM UC Adj'!J25</f>
        <v>0</v>
      </c>
      <c r="C25" s="23">
        <f>'Resid Cust Fcst '!$B26*'Resid TSM UC Adj'!K25</f>
        <v>0</v>
      </c>
      <c r="D25" s="23">
        <f>'Resid Cust Fcst '!$B26*'Resid TSM UC Adj'!L25</f>
        <v>0</v>
      </c>
      <c r="E25" s="41">
        <f>IF(SUM(B25:D25)=0,0,SUM(B25:D25)/'Resid Cust Fcst '!B26)</f>
        <v>0</v>
      </c>
      <c r="F25" s="109">
        <f>'Resid Cust Fcst '!$C26*'Resid TSM UC Adj'!J25</f>
        <v>0</v>
      </c>
      <c r="G25" s="23">
        <f>'Resid Cust Fcst '!$C26*'Resid TSM UC Adj'!K25</f>
        <v>0</v>
      </c>
      <c r="H25" s="23">
        <f>'Resid Cust Fcst '!$C26*'Resid TSM UC Adj'!L25</f>
        <v>0</v>
      </c>
      <c r="I25" s="41">
        <f>IF(SUM(F25:H25)=0,0,SUM(F25:H25)/'Resid Cust Fcst '!C26)</f>
        <v>0</v>
      </c>
      <c r="J25" s="109">
        <f>'Resid Cust Fcst '!$D26*'Resid TSM UC Adj'!J25</f>
        <v>0</v>
      </c>
      <c r="K25" s="23">
        <f>'Resid Cust Fcst '!$D26*'Resid TSM UC Adj'!K25</f>
        <v>0</v>
      </c>
      <c r="L25" s="23">
        <f>'Resid Cust Fcst '!$D26*'Resid TSM UC Adj'!L25</f>
        <v>0</v>
      </c>
      <c r="M25" s="41">
        <f>IF(SUM(J25:L25)=0,0,SUM(J25:L25)/'Resid Cust Fcst '!D26)</f>
        <v>0</v>
      </c>
      <c r="N25" s="109">
        <f>'Resid Cust Fcst '!$E26*'Resid TSM UC Adj'!N25</f>
        <v>0</v>
      </c>
      <c r="O25" s="23">
        <f>'Resid Cust Fcst '!$E26*'Resid TSM UC Adj'!O25</f>
        <v>0</v>
      </c>
      <c r="P25" s="23">
        <f>'Resid Cust Fcst '!$E26*'Resid TSM UC Adj'!P25</f>
        <v>0</v>
      </c>
      <c r="Q25" s="41">
        <f>IF(SUM(N25:P25)=0,0,SUM(N25:P25)/'Resid Cust Fcst '!E26)</f>
        <v>0</v>
      </c>
      <c r="R25" s="109">
        <f t="shared" si="2"/>
        <v>0</v>
      </c>
      <c r="S25" s="23">
        <f t="shared" si="4"/>
        <v>0</v>
      </c>
      <c r="T25" s="23">
        <f t="shared" si="5"/>
        <v>0</v>
      </c>
      <c r="U25" s="41">
        <f>IF(SUM(R25:T25)=0,0,SUM(R25:T25)/'Resid Cust Fcst '!F26)</f>
        <v>0</v>
      </c>
      <c r="V25" s="109">
        <f>'Resid Cust Fcst '!$G26*'Resid TSM UC Adj'!R25</f>
        <v>0</v>
      </c>
      <c r="W25" s="23">
        <f>'Resid Cust Fcst '!$G26*'Resid TSM UC Adj'!S25</f>
        <v>0</v>
      </c>
      <c r="X25" s="23">
        <f>'Resid Cust Fcst '!$G26*'Resid TSM UC Adj'!T25</f>
        <v>0</v>
      </c>
      <c r="Y25" s="41">
        <f>IF(SUM(V25:X25)=0,0,SUM(V25:X25)/'Resid Cust Fcst '!G26)</f>
        <v>0</v>
      </c>
      <c r="Z25" s="109">
        <f t="shared" si="3"/>
        <v>0</v>
      </c>
      <c r="AA25" s="23">
        <f t="shared" si="6"/>
        <v>0</v>
      </c>
      <c r="AB25" s="23">
        <f t="shared" si="7"/>
        <v>0</v>
      </c>
      <c r="AC25" s="41">
        <f>IF(SUM(Z25:AB25)=0,0,SUM(Z25:AB25)/'Resid Cust Fcst '!H26)</f>
        <v>0</v>
      </c>
    </row>
    <row r="26" spans="1:29">
      <c r="A26" s="124" t="s">
        <v>18</v>
      </c>
      <c r="B26" s="109">
        <f>'Resid Cust Fcst '!$B27*'Resid TSM UC Adj'!J26</f>
        <v>0</v>
      </c>
      <c r="C26" s="23">
        <f>'Resid Cust Fcst '!$B27*'Resid TSM UC Adj'!K26</f>
        <v>0</v>
      </c>
      <c r="D26" s="23">
        <f>'Resid Cust Fcst '!$B27*'Resid TSM UC Adj'!L26</f>
        <v>0</v>
      </c>
      <c r="E26" s="41">
        <f>IF(SUM(B26:D26)=0,0,SUM(B26:D26)/'Resid Cust Fcst '!B27)</f>
        <v>0</v>
      </c>
      <c r="F26" s="109">
        <f>'Resid Cust Fcst '!$C27*'Resid TSM UC Adj'!J26</f>
        <v>0</v>
      </c>
      <c r="G26" s="23">
        <f>'Resid Cust Fcst '!$C27*'Resid TSM UC Adj'!K26</f>
        <v>0</v>
      </c>
      <c r="H26" s="23">
        <f>'Resid Cust Fcst '!$C27*'Resid TSM UC Adj'!L26</f>
        <v>0</v>
      </c>
      <c r="I26" s="41">
        <f>IF(SUM(F26:H26)=0,0,SUM(F26:H26)/'Resid Cust Fcst '!C27)</f>
        <v>0</v>
      </c>
      <c r="J26" s="109">
        <f>'Resid Cust Fcst '!$D27*'Resid TSM UC Adj'!J26</f>
        <v>0</v>
      </c>
      <c r="K26" s="23">
        <f>'Resid Cust Fcst '!$D27*'Resid TSM UC Adj'!K26</f>
        <v>0</v>
      </c>
      <c r="L26" s="23">
        <f>'Resid Cust Fcst '!$D27*'Resid TSM UC Adj'!L26</f>
        <v>0</v>
      </c>
      <c r="M26" s="41">
        <f>IF(SUM(J26:L26)=0,0,SUM(J26:L26)/'Resid Cust Fcst '!D27)</f>
        <v>0</v>
      </c>
      <c r="N26" s="109">
        <f>'Resid Cust Fcst '!$E27*'Resid TSM UC Adj'!N26</f>
        <v>0</v>
      </c>
      <c r="O26" s="23">
        <f>'Resid Cust Fcst '!$E27*'Resid TSM UC Adj'!O26</f>
        <v>0</v>
      </c>
      <c r="P26" s="23">
        <f>'Resid Cust Fcst '!$E27*'Resid TSM UC Adj'!P26</f>
        <v>0</v>
      </c>
      <c r="Q26" s="41">
        <f>IF(SUM(N26:P26)=0,0,SUM(N26:P26)/'Resid Cust Fcst '!E27)</f>
        <v>0</v>
      </c>
      <c r="R26" s="109">
        <f t="shared" si="2"/>
        <v>0</v>
      </c>
      <c r="S26" s="23">
        <f t="shared" si="4"/>
        <v>0</v>
      </c>
      <c r="T26" s="23">
        <f t="shared" si="5"/>
        <v>0</v>
      </c>
      <c r="U26" s="41">
        <f>IF(SUM(R26:T26)=0,0,SUM(R26:T26)/'Resid Cust Fcst '!F27)</f>
        <v>0</v>
      </c>
      <c r="V26" s="109">
        <f>'Resid Cust Fcst '!$G27*'Resid TSM UC Adj'!R26</f>
        <v>0</v>
      </c>
      <c r="W26" s="23">
        <f>'Resid Cust Fcst '!$G27*'Resid TSM UC Adj'!S26</f>
        <v>0</v>
      </c>
      <c r="X26" s="23">
        <f>'Resid Cust Fcst '!$G27*'Resid TSM UC Adj'!T26</f>
        <v>0</v>
      </c>
      <c r="Y26" s="41">
        <f>IF(SUM(V26:X26)=0,0,SUM(V26:X26)/'Resid Cust Fcst '!G27)</f>
        <v>0</v>
      </c>
      <c r="Z26" s="109">
        <f t="shared" si="3"/>
        <v>0</v>
      </c>
      <c r="AA26" s="23">
        <f t="shared" si="6"/>
        <v>0</v>
      </c>
      <c r="AB26" s="23">
        <f t="shared" si="7"/>
        <v>0</v>
      </c>
      <c r="AC26" s="41">
        <f>IF(SUM(Z26:AB26)=0,0,SUM(Z26:AB26)/'Resid Cust Fcst '!H27)</f>
        <v>0</v>
      </c>
    </row>
    <row r="27" spans="1:29">
      <c r="A27" s="124" t="s">
        <v>19</v>
      </c>
      <c r="B27" s="109">
        <f>'Resid Cust Fcst '!$B28*'Resid TSM UC Adj'!J27</f>
        <v>0</v>
      </c>
      <c r="C27" s="23">
        <f>'Resid Cust Fcst '!$B28*'Resid TSM UC Adj'!K27</f>
        <v>0</v>
      </c>
      <c r="D27" s="23">
        <f>'Resid Cust Fcst '!$B28*'Resid TSM UC Adj'!L27</f>
        <v>0</v>
      </c>
      <c r="E27" s="41">
        <f>IF(SUM(B27:D27)=0,0,SUM(B27:D27)/'Resid Cust Fcst '!B28)</f>
        <v>0</v>
      </c>
      <c r="F27" s="109">
        <f>'Resid Cust Fcst '!$C28*'Resid TSM UC Adj'!J27</f>
        <v>0</v>
      </c>
      <c r="G27" s="23">
        <f>'Resid Cust Fcst '!$C28*'Resid TSM UC Adj'!K27</f>
        <v>0</v>
      </c>
      <c r="H27" s="23">
        <f>'Resid Cust Fcst '!$C28*'Resid TSM UC Adj'!L27</f>
        <v>0</v>
      </c>
      <c r="I27" s="41">
        <f>IF(SUM(F27:H27)=0,0,SUM(F27:H27)/'Resid Cust Fcst '!C28)</f>
        <v>0</v>
      </c>
      <c r="J27" s="109">
        <f>'Resid Cust Fcst '!$D28*'Resid TSM UC Adj'!J27</f>
        <v>0</v>
      </c>
      <c r="K27" s="23">
        <f>'Resid Cust Fcst '!$D28*'Resid TSM UC Adj'!K27</f>
        <v>0</v>
      </c>
      <c r="L27" s="23">
        <f>'Resid Cust Fcst '!$D28*'Resid TSM UC Adj'!L27</f>
        <v>0</v>
      </c>
      <c r="M27" s="41">
        <f>IF(SUM(J27:L27)=0,0,SUM(J27:L27)/'Resid Cust Fcst '!D28)</f>
        <v>0</v>
      </c>
      <c r="N27" s="109">
        <f>'Resid Cust Fcst '!$E28*'Resid TSM UC Adj'!N27</f>
        <v>0</v>
      </c>
      <c r="O27" s="23">
        <f>'Resid Cust Fcst '!$E28*'Resid TSM UC Adj'!O27</f>
        <v>0</v>
      </c>
      <c r="P27" s="23">
        <f>'Resid Cust Fcst '!$E28*'Resid TSM UC Adj'!P27</f>
        <v>0</v>
      </c>
      <c r="Q27" s="41">
        <f>IF(SUM(N27:P27)=0,0,SUM(N27:P27)/'Resid Cust Fcst '!E28)</f>
        <v>0</v>
      </c>
      <c r="R27" s="109">
        <f t="shared" si="2"/>
        <v>0</v>
      </c>
      <c r="S27" s="23">
        <f t="shared" si="4"/>
        <v>0</v>
      </c>
      <c r="T27" s="23">
        <f t="shared" si="5"/>
        <v>0</v>
      </c>
      <c r="U27" s="41">
        <f>IF(SUM(R27:T27)=0,0,SUM(R27:T27)/'Resid Cust Fcst '!F28)</f>
        <v>0</v>
      </c>
      <c r="V27" s="109">
        <f>'Resid Cust Fcst '!$G28*'Resid TSM UC Adj'!R27</f>
        <v>0</v>
      </c>
      <c r="W27" s="23">
        <f>'Resid Cust Fcst '!$G28*'Resid TSM UC Adj'!S27</f>
        <v>0</v>
      </c>
      <c r="X27" s="23">
        <f>'Resid Cust Fcst '!$G28*'Resid TSM UC Adj'!T27</f>
        <v>0</v>
      </c>
      <c r="Y27" s="41">
        <f>IF(SUM(V27:X27)=0,0,SUM(V27:X27)/'Resid Cust Fcst '!G28)</f>
        <v>0</v>
      </c>
      <c r="Z27" s="109">
        <f t="shared" si="3"/>
        <v>0</v>
      </c>
      <c r="AA27" s="23">
        <f t="shared" si="6"/>
        <v>0</v>
      </c>
      <c r="AB27" s="23">
        <f t="shared" si="7"/>
        <v>0</v>
      </c>
      <c r="AC27" s="41">
        <f>IF(SUM(Z27:AB27)=0,0,SUM(Z27:AB27)/'Resid Cust Fcst '!H28)</f>
        <v>0</v>
      </c>
    </row>
    <row r="28" spans="1:29">
      <c r="A28" s="124" t="s">
        <v>20</v>
      </c>
      <c r="B28" s="109">
        <f>'Resid Cust Fcst '!$B29*'Resid TSM UC Adj'!J28</f>
        <v>0</v>
      </c>
      <c r="C28" s="23">
        <f>'Resid Cust Fcst '!$B29*'Resid TSM UC Adj'!K28</f>
        <v>0</v>
      </c>
      <c r="D28" s="23">
        <f>'Resid Cust Fcst '!$B29*'Resid TSM UC Adj'!L28</f>
        <v>0</v>
      </c>
      <c r="E28" s="41">
        <f>IF(SUM(B28:D28)=0,0,SUM(B28:D28)/'Resid Cust Fcst '!B29)</f>
        <v>0</v>
      </c>
      <c r="F28" s="109">
        <f>'Resid Cust Fcst '!$C29*'Resid TSM UC Adj'!J28</f>
        <v>0</v>
      </c>
      <c r="G28" s="23">
        <f>'Resid Cust Fcst '!$C29*'Resid TSM UC Adj'!K28</f>
        <v>0</v>
      </c>
      <c r="H28" s="23">
        <f>'Resid Cust Fcst '!$C29*'Resid TSM UC Adj'!L28</f>
        <v>0</v>
      </c>
      <c r="I28" s="41">
        <f>IF(SUM(F28:H28)=0,0,SUM(F28:H28)/'Resid Cust Fcst '!C29)</f>
        <v>0</v>
      </c>
      <c r="J28" s="109">
        <f>'Resid Cust Fcst '!$D29*'Resid TSM UC Adj'!J28</f>
        <v>0</v>
      </c>
      <c r="K28" s="23">
        <f>'Resid Cust Fcst '!$D29*'Resid TSM UC Adj'!K28</f>
        <v>0</v>
      </c>
      <c r="L28" s="23">
        <f>'Resid Cust Fcst '!$D29*'Resid TSM UC Adj'!L28</f>
        <v>0</v>
      </c>
      <c r="M28" s="41">
        <f>IF(SUM(J28:L28)=0,0,SUM(J28:L28)/'Resid Cust Fcst '!D29)</f>
        <v>0</v>
      </c>
      <c r="N28" s="109">
        <f>'Resid Cust Fcst '!$E29*'Resid TSM UC Adj'!N28</f>
        <v>0</v>
      </c>
      <c r="O28" s="23">
        <f>'Resid Cust Fcst '!$E29*'Resid TSM UC Adj'!O28</f>
        <v>0</v>
      </c>
      <c r="P28" s="23">
        <f>'Resid Cust Fcst '!$E29*'Resid TSM UC Adj'!P28</f>
        <v>0</v>
      </c>
      <c r="Q28" s="41">
        <f>IF(SUM(N28:P28)=0,0,SUM(N28:P28)/'Resid Cust Fcst '!E29)</f>
        <v>0</v>
      </c>
      <c r="R28" s="109">
        <f t="shared" si="2"/>
        <v>0</v>
      </c>
      <c r="S28" s="23">
        <f t="shared" si="4"/>
        <v>0</v>
      </c>
      <c r="T28" s="23">
        <f t="shared" si="5"/>
        <v>0</v>
      </c>
      <c r="U28" s="41">
        <f>IF(SUM(R28:T28)=0,0,SUM(R28:T28)/'Resid Cust Fcst '!F29)</f>
        <v>0</v>
      </c>
      <c r="V28" s="109">
        <f>'Resid Cust Fcst '!$G29*'Resid TSM UC Adj'!R28</f>
        <v>0</v>
      </c>
      <c r="W28" s="23">
        <f>'Resid Cust Fcst '!$G29*'Resid TSM UC Adj'!S28</f>
        <v>0</v>
      </c>
      <c r="X28" s="23">
        <f>'Resid Cust Fcst '!$G29*'Resid TSM UC Adj'!T28</f>
        <v>0</v>
      </c>
      <c r="Y28" s="41">
        <f>IF(SUM(V28:X28)=0,0,SUM(V28:X28)/'Resid Cust Fcst '!G29)</f>
        <v>0</v>
      </c>
      <c r="Z28" s="109">
        <f t="shared" si="3"/>
        <v>0</v>
      </c>
      <c r="AA28" s="23">
        <f t="shared" si="6"/>
        <v>0</v>
      </c>
      <c r="AB28" s="23">
        <f t="shared" si="7"/>
        <v>0</v>
      </c>
      <c r="AC28" s="41">
        <f>IF(SUM(Z28:AB28)=0,0,SUM(Z28:AB28)/'Resid Cust Fcst '!H29)</f>
        <v>0</v>
      </c>
    </row>
    <row r="29" spans="1:29">
      <c r="A29" s="124" t="s">
        <v>21</v>
      </c>
      <c r="B29" s="109">
        <f>'Resid Cust Fcst '!$B30*'Resid TSM UC Adj'!J29</f>
        <v>0</v>
      </c>
      <c r="C29" s="23">
        <f>'Resid Cust Fcst '!$B30*'Resid TSM UC Adj'!K29</f>
        <v>0</v>
      </c>
      <c r="D29" s="23">
        <f>'Resid Cust Fcst '!$B30*'Resid TSM UC Adj'!L29</f>
        <v>0</v>
      </c>
      <c r="E29" s="41">
        <f>IF(SUM(B29:D29)=0,0,SUM(B29:D29)/'Resid Cust Fcst '!B30)</f>
        <v>0</v>
      </c>
      <c r="F29" s="109">
        <f>'Resid Cust Fcst '!$C30*'Resid TSM UC Adj'!J29</f>
        <v>0</v>
      </c>
      <c r="G29" s="23">
        <f>'Resid Cust Fcst '!$C30*'Resid TSM UC Adj'!K29</f>
        <v>0</v>
      </c>
      <c r="H29" s="23">
        <f>'Resid Cust Fcst '!$C30*'Resid TSM UC Adj'!L29</f>
        <v>0</v>
      </c>
      <c r="I29" s="41">
        <f>IF(SUM(F29:H29)=0,0,SUM(F29:H29)/'Resid Cust Fcst '!C30)</f>
        <v>0</v>
      </c>
      <c r="J29" s="109">
        <f>'Resid Cust Fcst '!$D30*'Resid TSM UC Adj'!J29</f>
        <v>0</v>
      </c>
      <c r="K29" s="23">
        <f>'Resid Cust Fcst '!$D30*'Resid TSM UC Adj'!K29</f>
        <v>0</v>
      </c>
      <c r="L29" s="23">
        <f>'Resid Cust Fcst '!$D30*'Resid TSM UC Adj'!L29</f>
        <v>0</v>
      </c>
      <c r="M29" s="41">
        <f>IF(SUM(J29:L29)=0,0,SUM(J29:L29)/'Resid Cust Fcst '!D30)</f>
        <v>0</v>
      </c>
      <c r="N29" s="109">
        <f>'Resid Cust Fcst '!$E30*'Resid TSM UC Adj'!N29</f>
        <v>0</v>
      </c>
      <c r="O29" s="23">
        <f>'Resid Cust Fcst '!$E30*'Resid TSM UC Adj'!O29</f>
        <v>0</v>
      </c>
      <c r="P29" s="23">
        <f>'Resid Cust Fcst '!$E30*'Resid TSM UC Adj'!P29</f>
        <v>0</v>
      </c>
      <c r="Q29" s="41">
        <f>IF(SUM(N29:P29)=0,0,SUM(N29:P29)/'Resid Cust Fcst '!E30)</f>
        <v>0</v>
      </c>
      <c r="R29" s="109">
        <f t="shared" si="2"/>
        <v>0</v>
      </c>
      <c r="S29" s="23">
        <f t="shared" si="4"/>
        <v>0</v>
      </c>
      <c r="T29" s="23">
        <f t="shared" si="5"/>
        <v>0</v>
      </c>
      <c r="U29" s="41">
        <f>IF(SUM(R29:T29)=0,0,SUM(R29:T29)/'Resid Cust Fcst '!F30)</f>
        <v>0</v>
      </c>
      <c r="V29" s="109">
        <f>'Resid Cust Fcst '!$G30*'Resid TSM UC Adj'!R29</f>
        <v>0</v>
      </c>
      <c r="W29" s="23">
        <f>'Resid Cust Fcst '!$G30*'Resid TSM UC Adj'!S29</f>
        <v>0</v>
      </c>
      <c r="X29" s="23">
        <f>'Resid Cust Fcst '!$G30*'Resid TSM UC Adj'!T29</f>
        <v>0</v>
      </c>
      <c r="Y29" s="41">
        <f>IF(SUM(V29:X29)=0,0,SUM(V29:X29)/'Resid Cust Fcst '!G30)</f>
        <v>0</v>
      </c>
      <c r="Z29" s="109">
        <f t="shared" si="3"/>
        <v>0</v>
      </c>
      <c r="AA29" s="23">
        <f t="shared" si="6"/>
        <v>0</v>
      </c>
      <c r="AB29" s="23">
        <f t="shared" si="7"/>
        <v>0</v>
      </c>
      <c r="AC29" s="41">
        <f>IF(SUM(Z29:AB29)=0,0,SUM(Z29:AB29)/'Resid Cust Fcst '!H30)</f>
        <v>0</v>
      </c>
    </row>
    <row r="30" spans="1:29">
      <c r="A30" s="124" t="s">
        <v>22</v>
      </c>
      <c r="B30" s="109">
        <f>'Resid Cust Fcst '!$B31*'Resid TSM UC Adj'!J30</f>
        <v>0</v>
      </c>
      <c r="C30" s="23">
        <f>'Resid Cust Fcst '!$B31*'Resid TSM UC Adj'!K30</f>
        <v>0</v>
      </c>
      <c r="D30" s="23">
        <f>'Resid Cust Fcst '!$B31*'Resid TSM UC Adj'!L30</f>
        <v>0</v>
      </c>
      <c r="E30" s="41">
        <f>IF(SUM(B30:D30)=0,0,SUM(B30:D30)/'Resid Cust Fcst '!B31)</f>
        <v>0</v>
      </c>
      <c r="F30" s="109">
        <f>'Resid Cust Fcst '!$C31*'Resid TSM UC Adj'!J30</f>
        <v>0</v>
      </c>
      <c r="G30" s="23">
        <f>'Resid Cust Fcst '!$C31*'Resid TSM UC Adj'!K30</f>
        <v>0</v>
      </c>
      <c r="H30" s="23">
        <f>'Resid Cust Fcst '!$C31*'Resid TSM UC Adj'!L30</f>
        <v>0</v>
      </c>
      <c r="I30" s="41">
        <f>IF(SUM(F30:H30)=0,0,SUM(F30:H30)/'Resid Cust Fcst '!C31)</f>
        <v>0</v>
      </c>
      <c r="J30" s="109">
        <f>'Resid Cust Fcst '!$D31*'Resid TSM UC Adj'!J30</f>
        <v>0</v>
      </c>
      <c r="K30" s="23">
        <f>'Resid Cust Fcst '!$D31*'Resid TSM UC Adj'!K30</f>
        <v>0</v>
      </c>
      <c r="L30" s="23">
        <f>'Resid Cust Fcst '!$D31*'Resid TSM UC Adj'!L30</f>
        <v>0</v>
      </c>
      <c r="M30" s="41">
        <f>IF(SUM(J30:L30)=0,0,SUM(J30:L30)/'Resid Cust Fcst '!D31)</f>
        <v>0</v>
      </c>
      <c r="N30" s="109">
        <f>'Resid Cust Fcst '!$E31*'Resid TSM UC Adj'!N30</f>
        <v>0</v>
      </c>
      <c r="O30" s="23">
        <f>'Resid Cust Fcst '!$E31*'Resid TSM UC Adj'!O30</f>
        <v>0</v>
      </c>
      <c r="P30" s="23">
        <f>'Resid Cust Fcst '!$E31*'Resid TSM UC Adj'!P30</f>
        <v>0</v>
      </c>
      <c r="Q30" s="41">
        <f>IF(SUM(N30:P30)=0,0,SUM(N30:P30)/'Resid Cust Fcst '!E31)</f>
        <v>0</v>
      </c>
      <c r="R30" s="109">
        <f t="shared" si="2"/>
        <v>0</v>
      </c>
      <c r="S30" s="23">
        <f t="shared" si="4"/>
        <v>0</v>
      </c>
      <c r="T30" s="23">
        <f t="shared" si="5"/>
        <v>0</v>
      </c>
      <c r="U30" s="41">
        <f>IF(SUM(R30:T30)=0,0,SUM(R30:T30)/'Resid Cust Fcst '!F31)</f>
        <v>0</v>
      </c>
      <c r="V30" s="109">
        <f>'Resid Cust Fcst '!$G31*'Resid TSM UC Adj'!R30</f>
        <v>0</v>
      </c>
      <c r="W30" s="23">
        <f>'Resid Cust Fcst '!$G31*'Resid TSM UC Adj'!S30</f>
        <v>0</v>
      </c>
      <c r="X30" s="23">
        <f>'Resid Cust Fcst '!$G31*'Resid TSM UC Adj'!T30</f>
        <v>0</v>
      </c>
      <c r="Y30" s="41">
        <f>IF(SUM(V30:X30)=0,0,SUM(V30:X30)/'Resid Cust Fcst '!G31)</f>
        <v>0</v>
      </c>
      <c r="Z30" s="109">
        <f t="shared" si="3"/>
        <v>0</v>
      </c>
      <c r="AA30" s="23">
        <f t="shared" si="6"/>
        <v>0</v>
      </c>
      <c r="AB30" s="23">
        <f t="shared" si="7"/>
        <v>0</v>
      </c>
      <c r="AC30" s="41">
        <f>IF(SUM(Z30:AB30)=0,0,SUM(Z30:AB30)/'Resid Cust Fcst '!H31)</f>
        <v>0</v>
      </c>
    </row>
    <row r="31" spans="1:29">
      <c r="A31" s="124" t="s">
        <v>23</v>
      </c>
      <c r="B31" s="109">
        <f>'Resid Cust Fcst '!$B32*'Resid TSM UC Adj'!J31</f>
        <v>0</v>
      </c>
      <c r="C31" s="23">
        <f>'Resid Cust Fcst '!$B32*'Resid TSM UC Adj'!K31</f>
        <v>0</v>
      </c>
      <c r="D31" s="23">
        <f>'Resid Cust Fcst '!$B32*'Resid TSM UC Adj'!L31</f>
        <v>0</v>
      </c>
      <c r="E31" s="41">
        <f>IF(SUM(B31:D31)=0,0,SUM(B31:D31)/'Resid Cust Fcst '!B32)</f>
        <v>0</v>
      </c>
      <c r="F31" s="109">
        <f>'Resid Cust Fcst '!$C32*'Resid TSM UC Adj'!J31</f>
        <v>0</v>
      </c>
      <c r="G31" s="23">
        <f>'Resid Cust Fcst '!$C32*'Resid TSM UC Adj'!K31</f>
        <v>0</v>
      </c>
      <c r="H31" s="23">
        <f>'Resid Cust Fcst '!$C32*'Resid TSM UC Adj'!L31</f>
        <v>0</v>
      </c>
      <c r="I31" s="41">
        <f>IF(SUM(F31:H31)=0,0,SUM(F31:H31)/'Resid Cust Fcst '!C32)</f>
        <v>0</v>
      </c>
      <c r="J31" s="109">
        <f>'Resid Cust Fcst '!$D32*'Resid TSM UC Adj'!J31</f>
        <v>0</v>
      </c>
      <c r="K31" s="23">
        <f>'Resid Cust Fcst '!$D32*'Resid TSM UC Adj'!K31</f>
        <v>0</v>
      </c>
      <c r="L31" s="23">
        <f>'Resid Cust Fcst '!$D32*'Resid TSM UC Adj'!L31</f>
        <v>0</v>
      </c>
      <c r="M31" s="41">
        <f>IF(SUM(J31:L31)=0,0,SUM(J31:L31)/'Resid Cust Fcst '!D32)</f>
        <v>0</v>
      </c>
      <c r="N31" s="109">
        <f>'Resid Cust Fcst '!$E32*'Resid TSM UC Adj'!N31</f>
        <v>0</v>
      </c>
      <c r="O31" s="23">
        <f>'Resid Cust Fcst '!$E32*'Resid TSM UC Adj'!O31</f>
        <v>0</v>
      </c>
      <c r="P31" s="23">
        <f>'Resid Cust Fcst '!$E32*'Resid TSM UC Adj'!P31</f>
        <v>0</v>
      </c>
      <c r="Q31" s="41">
        <f>IF(SUM(N31:P31)=0,0,SUM(N31:P31)/'Resid Cust Fcst '!E32)</f>
        <v>0</v>
      </c>
      <c r="R31" s="109">
        <f t="shared" si="2"/>
        <v>0</v>
      </c>
      <c r="S31" s="23">
        <f t="shared" si="4"/>
        <v>0</v>
      </c>
      <c r="T31" s="23">
        <f t="shared" si="5"/>
        <v>0</v>
      </c>
      <c r="U31" s="41">
        <f>IF(SUM(R31:T31)=0,0,SUM(R31:T31)/'Resid Cust Fcst '!F32)</f>
        <v>0</v>
      </c>
      <c r="V31" s="109">
        <f>'Resid Cust Fcst '!$G32*'Resid TSM UC Adj'!R31</f>
        <v>0</v>
      </c>
      <c r="W31" s="23">
        <f>'Resid Cust Fcst '!$G32*'Resid TSM UC Adj'!S31</f>
        <v>0</v>
      </c>
      <c r="X31" s="23">
        <f>'Resid Cust Fcst '!$G32*'Resid TSM UC Adj'!T31</f>
        <v>0</v>
      </c>
      <c r="Y31" s="41">
        <f>IF(SUM(V31:X31)=0,0,SUM(V31:X31)/'Resid Cust Fcst '!G32)</f>
        <v>0</v>
      </c>
      <c r="Z31" s="109">
        <f t="shared" si="3"/>
        <v>0</v>
      </c>
      <c r="AA31" s="23">
        <f t="shared" si="6"/>
        <v>0</v>
      </c>
      <c r="AB31" s="23">
        <f t="shared" si="7"/>
        <v>0</v>
      </c>
      <c r="AC31" s="41">
        <f>IF(SUM(Z31:AB31)=0,0,SUM(Z31:AB31)/'Resid Cust Fcst '!H32)</f>
        <v>0</v>
      </c>
    </row>
    <row r="32" spans="1:29">
      <c r="A32" s="124" t="s">
        <v>24</v>
      </c>
      <c r="B32" s="109">
        <f>'Resid Cust Fcst '!$B33*'Resid TSM UC Adj'!J32</f>
        <v>0</v>
      </c>
      <c r="C32" s="23">
        <f>'Resid Cust Fcst '!$B33*'Resid TSM UC Adj'!K32</f>
        <v>0</v>
      </c>
      <c r="D32" s="23">
        <f>'Resid Cust Fcst '!$B33*'Resid TSM UC Adj'!L32</f>
        <v>0</v>
      </c>
      <c r="E32" s="41">
        <f>IF(SUM(B32:D32)=0,0,SUM(B32:D32)/'Resid Cust Fcst '!B33)</f>
        <v>0</v>
      </c>
      <c r="F32" s="109">
        <f>'Resid Cust Fcst '!$C33*'Resid TSM UC Adj'!J32</f>
        <v>0</v>
      </c>
      <c r="G32" s="23">
        <f>'Resid Cust Fcst '!$C33*'Resid TSM UC Adj'!K32</f>
        <v>0</v>
      </c>
      <c r="H32" s="23">
        <f>'Resid Cust Fcst '!$C33*'Resid TSM UC Adj'!L32</f>
        <v>0</v>
      </c>
      <c r="I32" s="41">
        <f>IF(SUM(F32:H32)=0,0,SUM(F32:H32)/'Resid Cust Fcst '!C33)</f>
        <v>0</v>
      </c>
      <c r="J32" s="109">
        <f>'Resid Cust Fcst '!$D33*'Resid TSM UC Adj'!J32</f>
        <v>0</v>
      </c>
      <c r="K32" s="23">
        <f>'Resid Cust Fcst '!$D33*'Resid TSM UC Adj'!K32</f>
        <v>0</v>
      </c>
      <c r="L32" s="23">
        <f>'Resid Cust Fcst '!$D33*'Resid TSM UC Adj'!L32</f>
        <v>0</v>
      </c>
      <c r="M32" s="41">
        <f>IF(SUM(J32:L32)=0,0,SUM(J32:L32)/'Resid Cust Fcst '!D33)</f>
        <v>0</v>
      </c>
      <c r="N32" s="109">
        <f>'Resid Cust Fcst '!$E33*'Resid TSM UC Adj'!N32</f>
        <v>0</v>
      </c>
      <c r="O32" s="23">
        <f>'Resid Cust Fcst '!$E33*'Resid TSM UC Adj'!O32</f>
        <v>0</v>
      </c>
      <c r="P32" s="23">
        <f>'Resid Cust Fcst '!$E33*'Resid TSM UC Adj'!P32</f>
        <v>0</v>
      </c>
      <c r="Q32" s="41">
        <f>IF(SUM(N32:P32)=0,0,SUM(N32:P32)/'Resid Cust Fcst '!E33)</f>
        <v>0</v>
      </c>
      <c r="R32" s="109">
        <f t="shared" si="2"/>
        <v>0</v>
      </c>
      <c r="S32" s="23">
        <f t="shared" si="4"/>
        <v>0</v>
      </c>
      <c r="T32" s="23">
        <f t="shared" si="5"/>
        <v>0</v>
      </c>
      <c r="U32" s="41">
        <f>IF(SUM(R32:T32)=0,0,SUM(R32:T32)/'Resid Cust Fcst '!F33)</f>
        <v>0</v>
      </c>
      <c r="V32" s="109">
        <f>'Resid Cust Fcst '!$G33*'Resid TSM UC Adj'!R32</f>
        <v>0</v>
      </c>
      <c r="W32" s="23">
        <f>'Resid Cust Fcst '!$G33*'Resid TSM UC Adj'!S32</f>
        <v>0</v>
      </c>
      <c r="X32" s="23">
        <f>'Resid Cust Fcst '!$G33*'Resid TSM UC Adj'!T32</f>
        <v>0</v>
      </c>
      <c r="Y32" s="41">
        <f>IF(SUM(V32:X32)=0,0,SUM(V32:X32)/'Resid Cust Fcst '!G33)</f>
        <v>0</v>
      </c>
      <c r="Z32" s="109">
        <f t="shared" si="3"/>
        <v>0</v>
      </c>
      <c r="AA32" s="23">
        <f t="shared" si="6"/>
        <v>0</v>
      </c>
      <c r="AB32" s="23">
        <f t="shared" si="7"/>
        <v>0</v>
      </c>
      <c r="AC32" s="41">
        <f>IF(SUM(Z32:AB32)=0,0,SUM(Z32:AB32)/'Resid Cust Fcst '!H33)</f>
        <v>0</v>
      </c>
    </row>
    <row r="33" spans="1:29">
      <c r="A33" s="124" t="s">
        <v>25</v>
      </c>
      <c r="B33" s="109">
        <f>'Resid Cust Fcst '!$B34*'Resid TSM UC Adj'!J33</f>
        <v>0</v>
      </c>
      <c r="C33" s="23">
        <f>'Resid Cust Fcst '!$B34*'Resid TSM UC Adj'!K33</f>
        <v>0</v>
      </c>
      <c r="D33" s="23">
        <f>'Resid Cust Fcst '!$B34*'Resid TSM UC Adj'!L33</f>
        <v>0</v>
      </c>
      <c r="E33" s="41">
        <f>IF(SUM(B33:D33)=0,0,SUM(B33:D33)/'Resid Cust Fcst '!B34)</f>
        <v>0</v>
      </c>
      <c r="F33" s="109">
        <f>'Resid Cust Fcst '!$C34*'Resid TSM UC Adj'!J33</f>
        <v>0</v>
      </c>
      <c r="G33" s="23">
        <f>'Resid Cust Fcst '!$C34*'Resid TSM UC Adj'!K33</f>
        <v>0</v>
      </c>
      <c r="H33" s="23">
        <f>'Resid Cust Fcst '!$C34*'Resid TSM UC Adj'!L33</f>
        <v>0</v>
      </c>
      <c r="I33" s="41">
        <f>IF(SUM(F33:H33)=0,0,SUM(F33:H33)/'Resid Cust Fcst '!C34)</f>
        <v>0</v>
      </c>
      <c r="J33" s="109">
        <f>'Resid Cust Fcst '!$D34*'Resid TSM UC Adj'!J33</f>
        <v>0</v>
      </c>
      <c r="K33" s="23">
        <f>'Resid Cust Fcst '!$D34*'Resid TSM UC Adj'!K33</f>
        <v>0</v>
      </c>
      <c r="L33" s="23">
        <f>'Resid Cust Fcst '!$D34*'Resid TSM UC Adj'!L33</f>
        <v>0</v>
      </c>
      <c r="M33" s="41">
        <f>IF(SUM(J33:L33)=0,0,SUM(J33:L33)/'Resid Cust Fcst '!D34)</f>
        <v>0</v>
      </c>
      <c r="N33" s="109">
        <f>'Resid Cust Fcst '!$E34*'Resid TSM UC Adj'!N33</f>
        <v>0</v>
      </c>
      <c r="O33" s="23">
        <f>'Resid Cust Fcst '!$E34*'Resid TSM UC Adj'!O33</f>
        <v>0</v>
      </c>
      <c r="P33" s="23">
        <f>'Resid Cust Fcst '!$E34*'Resid TSM UC Adj'!P33</f>
        <v>0</v>
      </c>
      <c r="Q33" s="41">
        <f>IF(SUM(N33:P33)=0,0,SUM(N33:P33)/'Resid Cust Fcst '!E34)</f>
        <v>0</v>
      </c>
      <c r="R33" s="109">
        <f t="shared" si="2"/>
        <v>0</v>
      </c>
      <c r="S33" s="23">
        <f t="shared" si="4"/>
        <v>0</v>
      </c>
      <c r="T33" s="23">
        <f t="shared" si="5"/>
        <v>0</v>
      </c>
      <c r="U33" s="41">
        <f>IF(SUM(R33:T33)=0,0,SUM(R33:T33)/'Resid Cust Fcst '!F34)</f>
        <v>0</v>
      </c>
      <c r="V33" s="109">
        <f>'Resid Cust Fcst '!$G34*'Resid TSM UC Adj'!R33</f>
        <v>0</v>
      </c>
      <c r="W33" s="23">
        <f>'Resid Cust Fcst '!$G34*'Resid TSM UC Adj'!S33</f>
        <v>0</v>
      </c>
      <c r="X33" s="23">
        <f>'Resid Cust Fcst '!$G34*'Resid TSM UC Adj'!T33</f>
        <v>0</v>
      </c>
      <c r="Y33" s="41">
        <f>IF(SUM(V33:X33)=0,0,SUM(V33:X33)/'Resid Cust Fcst '!G34)</f>
        <v>0</v>
      </c>
      <c r="Z33" s="109">
        <f t="shared" si="3"/>
        <v>0</v>
      </c>
      <c r="AA33" s="23">
        <f t="shared" si="6"/>
        <v>0</v>
      </c>
      <c r="AB33" s="23">
        <f t="shared" si="7"/>
        <v>0</v>
      </c>
      <c r="AC33" s="41">
        <f>IF(SUM(Z33:AB33)=0,0,SUM(Z33:AB33)/'Resid Cust Fcst '!H34)</f>
        <v>0</v>
      </c>
    </row>
    <row r="34" spans="1:29">
      <c r="A34" s="124" t="s">
        <v>111</v>
      </c>
      <c r="B34" s="109">
        <f>'Resid Cust Fcst '!$B35*'Resid TSM UC Adj'!J34</f>
        <v>0</v>
      </c>
      <c r="C34" s="23">
        <f>'Resid Cust Fcst '!$B35*'Resid TSM UC Adj'!K34</f>
        <v>0</v>
      </c>
      <c r="D34" s="23">
        <f>'Resid Cust Fcst '!$B35*'Resid TSM UC Adj'!L34</f>
        <v>0</v>
      </c>
      <c r="E34" s="41">
        <f>IF(SUM(B34:D34)=0,0,SUM(B34:D34)/'Resid Cust Fcst '!B35)</f>
        <v>0</v>
      </c>
      <c r="F34" s="109">
        <f>'Resid Cust Fcst '!$C35*'Resid TSM UC Adj'!J34</f>
        <v>0</v>
      </c>
      <c r="G34" s="23">
        <f>'Resid Cust Fcst '!$C35*'Resid TSM UC Adj'!K34</f>
        <v>0</v>
      </c>
      <c r="H34" s="23">
        <f>'Resid Cust Fcst '!$C35*'Resid TSM UC Adj'!L34</f>
        <v>0</v>
      </c>
      <c r="I34" s="41">
        <f>IF(SUM(F34:H34)=0,0,SUM(F34:H34)/'Resid Cust Fcst '!C35)</f>
        <v>0</v>
      </c>
      <c r="J34" s="109">
        <f>'Resid Cust Fcst '!$D35*'Resid TSM UC Adj'!J34</f>
        <v>0</v>
      </c>
      <c r="K34" s="23">
        <f>'Resid Cust Fcst '!$D35*'Resid TSM UC Adj'!K34</f>
        <v>0</v>
      </c>
      <c r="L34" s="23">
        <f>'Resid Cust Fcst '!$D35*'Resid TSM UC Adj'!L34</f>
        <v>0</v>
      </c>
      <c r="M34" s="41">
        <f>IF(SUM(J34:L34)=0,0,SUM(J34:L34)/'Resid Cust Fcst '!D35)</f>
        <v>0</v>
      </c>
      <c r="N34" s="109">
        <f>'Resid Cust Fcst '!$E35*'Resid TSM UC Adj'!N34</f>
        <v>0</v>
      </c>
      <c r="O34" s="23">
        <f>'Resid Cust Fcst '!$E35*'Resid TSM UC Adj'!O34</f>
        <v>0</v>
      </c>
      <c r="P34" s="23">
        <f>'Resid Cust Fcst '!$E35*'Resid TSM UC Adj'!P34</f>
        <v>0</v>
      </c>
      <c r="Q34" s="41">
        <f>IF(SUM(N34:P34)=0,0,SUM(N34:P34)/'Resid Cust Fcst '!E35)</f>
        <v>0</v>
      </c>
      <c r="R34" s="109">
        <f t="shared" si="2"/>
        <v>0</v>
      </c>
      <c r="S34" s="23">
        <f t="shared" si="4"/>
        <v>0</v>
      </c>
      <c r="T34" s="23">
        <f t="shared" si="5"/>
        <v>0</v>
      </c>
      <c r="U34" s="41">
        <f>IF(SUM(R34:T34)=0,0,SUM(R34:T34)/'Resid Cust Fcst '!F35)</f>
        <v>0</v>
      </c>
      <c r="V34" s="109">
        <f>'Resid Cust Fcst '!$G35*'Resid TSM UC Adj'!R34</f>
        <v>0</v>
      </c>
      <c r="W34" s="23">
        <f>'Resid Cust Fcst '!$G35*'Resid TSM UC Adj'!S34</f>
        <v>0</v>
      </c>
      <c r="X34" s="23">
        <f>'Resid Cust Fcst '!$G35*'Resid TSM UC Adj'!T34</f>
        <v>0</v>
      </c>
      <c r="Y34" s="41">
        <f>IF(SUM(V34:X34)=0,0,SUM(V34:X34)/'Resid Cust Fcst '!G35)</f>
        <v>0</v>
      </c>
      <c r="Z34" s="109">
        <f t="shared" si="3"/>
        <v>0</v>
      </c>
      <c r="AA34" s="23">
        <f t="shared" si="6"/>
        <v>0</v>
      </c>
      <c r="AB34" s="23">
        <f t="shared" si="7"/>
        <v>0</v>
      </c>
      <c r="AC34" s="41">
        <f>IF(SUM(Z34:AB34)=0,0,SUM(Z34:AB34)/'Resid Cust Fcst '!H35)</f>
        <v>0</v>
      </c>
    </row>
    <row r="35" spans="1:29">
      <c r="A35" s="124" t="s">
        <v>112</v>
      </c>
      <c r="B35" s="109">
        <f>'Resid Cust Fcst '!$B36*'Resid TSM UC Adj'!J35</f>
        <v>0</v>
      </c>
      <c r="C35" s="23">
        <f>'Resid Cust Fcst '!$B36*'Resid TSM UC Adj'!K35</f>
        <v>0</v>
      </c>
      <c r="D35" s="23">
        <f>'Resid Cust Fcst '!$B36*'Resid TSM UC Adj'!L35</f>
        <v>0</v>
      </c>
      <c r="E35" s="41">
        <f>IF(SUM(B35:D35)=0,0,SUM(B35:D35)/'Resid Cust Fcst '!B36)</f>
        <v>0</v>
      </c>
      <c r="F35" s="109">
        <f>'Resid Cust Fcst '!$C36*'Resid TSM UC Adj'!J35</f>
        <v>0</v>
      </c>
      <c r="G35" s="23">
        <f>'Resid Cust Fcst '!$C36*'Resid TSM UC Adj'!K35</f>
        <v>0</v>
      </c>
      <c r="H35" s="23">
        <f>'Resid Cust Fcst '!$C36*'Resid TSM UC Adj'!L35</f>
        <v>0</v>
      </c>
      <c r="I35" s="41">
        <f>IF(SUM(F35:H35)=0,0,SUM(F35:H35)/'Resid Cust Fcst '!C36)</f>
        <v>0</v>
      </c>
      <c r="J35" s="109">
        <f>'Resid Cust Fcst '!$D36*'Resid TSM UC Adj'!J35</f>
        <v>0</v>
      </c>
      <c r="K35" s="23">
        <f>'Resid Cust Fcst '!$D36*'Resid TSM UC Adj'!K35</f>
        <v>0</v>
      </c>
      <c r="L35" s="23">
        <f>'Resid Cust Fcst '!$D36*'Resid TSM UC Adj'!L35</f>
        <v>0</v>
      </c>
      <c r="M35" s="41">
        <f>IF(SUM(J35:L35)=0,0,SUM(J35:L35)/'Resid Cust Fcst '!D36)</f>
        <v>0</v>
      </c>
      <c r="N35" s="109">
        <f>'Resid Cust Fcst '!$E36*'Resid TSM UC Adj'!N35</f>
        <v>0</v>
      </c>
      <c r="O35" s="23">
        <f>'Resid Cust Fcst '!$E36*'Resid TSM UC Adj'!O35</f>
        <v>0</v>
      </c>
      <c r="P35" s="23">
        <f>'Resid Cust Fcst '!$E36*'Resid TSM UC Adj'!P35</f>
        <v>0</v>
      </c>
      <c r="Q35" s="41">
        <f>IF(SUM(N35:P35)=0,0,SUM(N35:P35)/'Resid Cust Fcst '!E36)</f>
        <v>0</v>
      </c>
      <c r="R35" s="109">
        <f t="shared" si="2"/>
        <v>0</v>
      </c>
      <c r="S35" s="23">
        <f t="shared" si="4"/>
        <v>0</v>
      </c>
      <c r="T35" s="23">
        <f t="shared" si="5"/>
        <v>0</v>
      </c>
      <c r="U35" s="41">
        <f>IF(SUM(R35:T35)=0,0,SUM(R35:T35)/'Resid Cust Fcst '!F36)</f>
        <v>0</v>
      </c>
      <c r="V35" s="109">
        <f>'Resid Cust Fcst '!$G36*'Resid TSM UC Adj'!R35</f>
        <v>0</v>
      </c>
      <c r="W35" s="23">
        <f>'Resid Cust Fcst '!$G36*'Resid TSM UC Adj'!S35</f>
        <v>0</v>
      </c>
      <c r="X35" s="23">
        <f>'Resid Cust Fcst '!$G36*'Resid TSM UC Adj'!T35</f>
        <v>0</v>
      </c>
      <c r="Y35" s="41">
        <f>IF(SUM(V35:X35)=0,0,SUM(V35:X35)/'Resid Cust Fcst '!G36)</f>
        <v>0</v>
      </c>
      <c r="Z35" s="109">
        <f t="shared" si="3"/>
        <v>0</v>
      </c>
      <c r="AA35" s="23">
        <f t="shared" si="6"/>
        <v>0</v>
      </c>
      <c r="AB35" s="23">
        <f t="shared" si="7"/>
        <v>0</v>
      </c>
      <c r="AC35" s="41">
        <f>IF(SUM(Z35:AB35)=0,0,SUM(Z35:AB35)/'Resid Cust Fcst '!H36)</f>
        <v>0</v>
      </c>
    </row>
    <row r="36" spans="1:29">
      <c r="A36" s="124" t="s">
        <v>26</v>
      </c>
      <c r="B36" s="109">
        <f>'Resid Cust Fcst '!$B37*'Resid TSM UC Adj'!J36</f>
        <v>0</v>
      </c>
      <c r="C36" s="23">
        <f>'Resid Cust Fcst '!$B37*'Resid TSM UC Adj'!K36</f>
        <v>0</v>
      </c>
      <c r="D36" s="23">
        <f>'Resid Cust Fcst '!$B37*'Resid TSM UC Adj'!L36</f>
        <v>0</v>
      </c>
      <c r="E36" s="41">
        <f>IF(SUM(B36:D36)=0,0,SUM(B36:D36)/'Resid Cust Fcst '!B37)</f>
        <v>0</v>
      </c>
      <c r="F36" s="109">
        <f>'Resid Cust Fcst '!$C37*'Resid TSM UC Adj'!J36</f>
        <v>0</v>
      </c>
      <c r="G36" s="23">
        <f>'Resid Cust Fcst '!$C37*'Resid TSM UC Adj'!K36</f>
        <v>0</v>
      </c>
      <c r="H36" s="23">
        <f>'Resid Cust Fcst '!$C37*'Resid TSM UC Adj'!L36</f>
        <v>0</v>
      </c>
      <c r="I36" s="41">
        <f>IF(SUM(F36:H36)=0,0,SUM(F36:H36)/'Resid Cust Fcst '!C37)</f>
        <v>0</v>
      </c>
      <c r="J36" s="109">
        <f>'Resid Cust Fcst '!$D37*'Resid TSM UC Adj'!J36</f>
        <v>0</v>
      </c>
      <c r="K36" s="23">
        <f>'Resid Cust Fcst '!$D37*'Resid TSM UC Adj'!K36</f>
        <v>0</v>
      </c>
      <c r="L36" s="23">
        <f>'Resid Cust Fcst '!$D37*'Resid TSM UC Adj'!L36</f>
        <v>0</v>
      </c>
      <c r="M36" s="41">
        <f>IF(SUM(J36:L36)=0,0,SUM(J36:L36)/'Resid Cust Fcst '!D37)</f>
        <v>0</v>
      </c>
      <c r="N36" s="109">
        <f>'Resid Cust Fcst '!$E37*'Resid TSM UC Adj'!N36</f>
        <v>0</v>
      </c>
      <c r="O36" s="23">
        <f>'Resid Cust Fcst '!$E37*'Resid TSM UC Adj'!O36</f>
        <v>0</v>
      </c>
      <c r="P36" s="23">
        <f>'Resid Cust Fcst '!$E37*'Resid TSM UC Adj'!P36</f>
        <v>0</v>
      </c>
      <c r="Q36" s="41">
        <f>IF(SUM(N36:P36)=0,0,SUM(N36:P36)/'Resid Cust Fcst '!E37)</f>
        <v>0</v>
      </c>
      <c r="R36" s="109">
        <f t="shared" si="2"/>
        <v>0</v>
      </c>
      <c r="S36" s="23">
        <f t="shared" si="4"/>
        <v>0</v>
      </c>
      <c r="T36" s="23">
        <f t="shared" si="5"/>
        <v>0</v>
      </c>
      <c r="U36" s="41">
        <f>IF(SUM(R36:T36)=0,0,SUM(R36:T36)/'Resid Cust Fcst '!F37)</f>
        <v>0</v>
      </c>
      <c r="V36" s="109">
        <f>'Resid Cust Fcst '!$G37*'Resid TSM UC Adj'!R36</f>
        <v>0</v>
      </c>
      <c r="W36" s="23">
        <f>'Resid Cust Fcst '!$G37*'Resid TSM UC Adj'!S36</f>
        <v>0</v>
      </c>
      <c r="X36" s="23">
        <f>'Resid Cust Fcst '!$G37*'Resid TSM UC Adj'!T36</f>
        <v>0</v>
      </c>
      <c r="Y36" s="41">
        <f>IF(SUM(V36:X36)=0,0,SUM(V36:X36)/'Resid Cust Fcst '!G37)</f>
        <v>0</v>
      </c>
      <c r="Z36" s="109">
        <f t="shared" si="3"/>
        <v>0</v>
      </c>
      <c r="AA36" s="23">
        <f t="shared" si="6"/>
        <v>0</v>
      </c>
      <c r="AB36" s="23">
        <f t="shared" si="7"/>
        <v>0</v>
      </c>
      <c r="AC36" s="41">
        <f>IF(SUM(Z36:AB36)=0,0,SUM(Z36:AB36)/'Resid Cust Fcst '!H37)</f>
        <v>0</v>
      </c>
    </row>
    <row r="37" spans="1:29">
      <c r="A37" s="124" t="s">
        <v>27</v>
      </c>
      <c r="B37" s="109">
        <f>'Resid Cust Fcst '!$B38*'Resid TSM UC Adj'!J37</f>
        <v>0</v>
      </c>
      <c r="C37" s="23">
        <f>'Resid Cust Fcst '!$B38*'Resid TSM UC Adj'!K37</f>
        <v>0</v>
      </c>
      <c r="D37" s="23">
        <f>'Resid Cust Fcst '!$B38*'Resid TSM UC Adj'!L37</f>
        <v>0</v>
      </c>
      <c r="E37" s="41">
        <f>IF(SUM(B37:D37)=0,0,SUM(B37:D37)/'Resid Cust Fcst '!B38)</f>
        <v>0</v>
      </c>
      <c r="F37" s="109">
        <f>'Resid Cust Fcst '!$C38*'Resid TSM UC Adj'!J37</f>
        <v>0</v>
      </c>
      <c r="G37" s="23">
        <f>'Resid Cust Fcst '!$C38*'Resid TSM UC Adj'!K37</f>
        <v>0</v>
      </c>
      <c r="H37" s="23">
        <f>'Resid Cust Fcst '!$C38*'Resid TSM UC Adj'!L37</f>
        <v>0</v>
      </c>
      <c r="I37" s="41">
        <f>IF(SUM(F37:H37)=0,0,SUM(F37:H37)/'Resid Cust Fcst '!C38)</f>
        <v>0</v>
      </c>
      <c r="J37" s="109">
        <f>'Resid Cust Fcst '!$D38*'Resid TSM UC Adj'!J37</f>
        <v>0</v>
      </c>
      <c r="K37" s="23">
        <f>'Resid Cust Fcst '!$D38*'Resid TSM UC Adj'!K37</f>
        <v>0</v>
      </c>
      <c r="L37" s="23">
        <f>'Resid Cust Fcst '!$D38*'Resid TSM UC Adj'!L37</f>
        <v>0</v>
      </c>
      <c r="M37" s="41">
        <f>IF(SUM(J37:L37)=0,0,SUM(J37:L37)/'Resid Cust Fcst '!D38)</f>
        <v>0</v>
      </c>
      <c r="N37" s="109">
        <f>'Resid Cust Fcst '!$E38*'Resid TSM UC Adj'!N37</f>
        <v>0</v>
      </c>
      <c r="O37" s="23">
        <f>'Resid Cust Fcst '!$E38*'Resid TSM UC Adj'!O37</f>
        <v>0</v>
      </c>
      <c r="P37" s="23">
        <f>'Resid Cust Fcst '!$E38*'Resid TSM UC Adj'!P37</f>
        <v>0</v>
      </c>
      <c r="Q37" s="41">
        <f>IF(SUM(N37:P37)=0,0,SUM(N37:P37)/'Resid Cust Fcst '!E38)</f>
        <v>0</v>
      </c>
      <c r="R37" s="109">
        <f t="shared" si="2"/>
        <v>0</v>
      </c>
      <c r="S37" s="23">
        <f t="shared" si="4"/>
        <v>0</v>
      </c>
      <c r="T37" s="23">
        <f t="shared" si="5"/>
        <v>0</v>
      </c>
      <c r="U37" s="41">
        <f>IF(SUM(R37:T37)=0,0,SUM(R37:T37)/'Resid Cust Fcst '!F38)</f>
        <v>0</v>
      </c>
      <c r="V37" s="109">
        <f>'Resid Cust Fcst '!$G38*'Resid TSM UC Adj'!R37</f>
        <v>0</v>
      </c>
      <c r="W37" s="23">
        <f>'Resid Cust Fcst '!$G38*'Resid TSM UC Adj'!S37</f>
        <v>0</v>
      </c>
      <c r="X37" s="23">
        <f>'Resid Cust Fcst '!$G38*'Resid TSM UC Adj'!T37</f>
        <v>0</v>
      </c>
      <c r="Y37" s="41">
        <f>IF(SUM(V37:X37)=0,0,SUM(V37:X37)/'Resid Cust Fcst '!G38)</f>
        <v>0</v>
      </c>
      <c r="Z37" s="109">
        <f t="shared" si="3"/>
        <v>0</v>
      </c>
      <c r="AA37" s="23">
        <f t="shared" si="6"/>
        <v>0</v>
      </c>
      <c r="AB37" s="23">
        <f t="shared" si="7"/>
        <v>0</v>
      </c>
      <c r="AC37" s="41">
        <f>IF(SUM(Z37:AB37)=0,0,SUM(Z37:AB37)/'Resid Cust Fcst '!H38)</f>
        <v>0</v>
      </c>
    </row>
    <row r="38" spans="1:29" ht="13.5" thickBot="1">
      <c r="A38" s="127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80"/>
      <c r="S38" s="176"/>
      <c r="T38" s="176"/>
      <c r="U38" s="185"/>
      <c r="V38" s="109"/>
      <c r="W38" s="23"/>
      <c r="X38" s="23"/>
      <c r="Y38" s="41"/>
      <c r="Z38" s="109"/>
      <c r="AA38" s="23"/>
      <c r="AB38" s="23"/>
      <c r="AC38" s="41"/>
    </row>
    <row r="39" spans="1:29" ht="13.5" thickBot="1">
      <c r="A39" s="181" t="s">
        <v>131</v>
      </c>
      <c r="B39" s="241">
        <f>IF(SUM(B7:B37)=0,0,SUM(B7:B37)/'Resid Cust Fcst '!$B$40)</f>
        <v>1349.6507651389106</v>
      </c>
      <c r="C39" s="242">
        <f>IF(SUM(C7:C37)=0,0,SUM(C7:C37)/'Resid Cust Fcst '!$B$40)</f>
        <v>213.73179817905475</v>
      </c>
      <c r="D39" s="242">
        <f>IF(SUM(D7:D37)=0,0,SUM(D7:D37)/'Resid Cust Fcst '!$B$40)</f>
        <v>195.54777786497777</v>
      </c>
      <c r="E39" s="243">
        <f>SUM(B39:D39)</f>
        <v>1758.9303411829433</v>
      </c>
      <c r="F39" s="241">
        <f>IF(SUM(F7:F37)=0,0,SUM(F7:F37)/'Resid Cust Fcst '!$C$40)</f>
        <v>0</v>
      </c>
      <c r="G39" s="242">
        <f>IF(SUM(G7:G37)=0,0,SUM(G7:G37)/'Resid Cust Fcst '!$C$40)</f>
        <v>0</v>
      </c>
      <c r="H39" s="242">
        <f>IF(SUM(H7:H37)=0,0,SUM(H7:H37)/'Resid Cust Fcst '!$C$40)</f>
        <v>0</v>
      </c>
      <c r="I39" s="243">
        <f>SUM(F39:H39)</f>
        <v>0</v>
      </c>
      <c r="J39" s="241">
        <f>IF(SUM(J7:J37)=0,0,SUM(J7:J37)/'Resid Cust Fcst '!$D$40)</f>
        <v>0</v>
      </c>
      <c r="K39" s="242">
        <f>IF(SUM(K7:K37)=0,0,SUM(K7:K37)/'Resid Cust Fcst '!$D$40)</f>
        <v>0</v>
      </c>
      <c r="L39" s="242">
        <f>IF(SUM(L7:L37)=0,0,SUM(L7:L37)/'Resid Cust Fcst '!$D$40)</f>
        <v>0</v>
      </c>
      <c r="M39" s="243">
        <f>SUM(J39:L39)</f>
        <v>0</v>
      </c>
      <c r="N39" s="241">
        <f>IF(SUM(N7:N37)=0,0,SUM(N7:N37)/'Resid Cust Fcst '!$E$40)</f>
        <v>0</v>
      </c>
      <c r="O39" s="242">
        <f>IF(SUM(O7:O37)=0,0,SUM(O7:O37)/'Resid Cust Fcst '!$E$40)</f>
        <v>0</v>
      </c>
      <c r="P39" s="242">
        <f>IF(SUM(P7:P37)=0,0,SUM(P7:P37)/'Resid Cust Fcst '!$E$40)</f>
        <v>0</v>
      </c>
      <c r="Q39" s="243">
        <f>SUM(N39:P39)</f>
        <v>0</v>
      </c>
      <c r="R39" s="241">
        <f>IF(SUM(R7:R37)=0,0,SUM(R7:R37)/'Resid Cust Fcst '!$F$40)</f>
        <v>1349.6507651389106</v>
      </c>
      <c r="S39" s="242">
        <f>IF(SUM(S7:S37)=0,0,SUM(S7:S37)/'Resid Cust Fcst '!$F$40)</f>
        <v>213.73179817905475</v>
      </c>
      <c r="T39" s="242">
        <f>IF(SUM(T7:T37)=0,0,SUM(T7:T37)/'Resid Cust Fcst '!$F$40)</f>
        <v>195.54777786497777</v>
      </c>
      <c r="U39" s="243">
        <f>SUM(R39:T39)</f>
        <v>1758.9303411829433</v>
      </c>
      <c r="V39" s="241">
        <f>IF(SUM(V7:V37)=0,0,SUM(V7:V37)/'Resid Cust Fcst '!$G$40)</f>
        <v>0</v>
      </c>
      <c r="W39" s="242">
        <f>IF(SUM(W7:W37)=0,0,SUM(W7:W37)/'Resid Cust Fcst '!$G$40)</f>
        <v>0</v>
      </c>
      <c r="X39" s="242">
        <f>IF(SUM(X7:X37)=0,0,SUM(X7:X37)/'Resid Cust Fcst '!$G$40)</f>
        <v>0</v>
      </c>
      <c r="Y39" s="243">
        <f>SUM(V39:X39)</f>
        <v>0</v>
      </c>
      <c r="Z39" s="241">
        <f>IF(SUM(Z7:Z37)=0,0,SUM(Z7:Z37)/'Resid Cust Fcst '!$H$40)</f>
        <v>1349.6507651389106</v>
      </c>
      <c r="AA39" s="242">
        <f>IF(SUM(AA7:AA37)=0,0,SUM(AA7:AA37)/'Resid Cust Fcst '!$H$40)</f>
        <v>213.73179817905475</v>
      </c>
      <c r="AB39" s="242">
        <f>IF(SUM(AB7:AB37)=0,0,SUM(AB7:AB37)/'Resid Cust Fcst '!$H$40)</f>
        <v>195.54777786497777</v>
      </c>
      <c r="AC39" s="243">
        <f>SUM(Z39:AB39)</f>
        <v>1758.9303411829433</v>
      </c>
    </row>
    <row r="40" spans="1:29">
      <c r="A40" s="49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264" t="s">
        <v>91</v>
      </c>
      <c r="B41" s="18"/>
      <c r="C41" s="18"/>
      <c r="D41" s="18"/>
      <c r="E41" s="23">
        <f>IF(SUM(B7:D37)=0,0,SUM(B7:D37)/'Resid Cust Fcst '!B40)-E39</f>
        <v>0</v>
      </c>
      <c r="F41" s="18"/>
      <c r="G41" s="18"/>
      <c r="H41" s="18"/>
      <c r="I41" s="23">
        <f>IF(SUM(F7:H37)=0,0,SUM(F7:H37)/'Resid Cust Fcst '!C40)-I39</f>
        <v>0</v>
      </c>
      <c r="J41" s="18"/>
      <c r="K41" s="18"/>
      <c r="L41" s="18"/>
      <c r="M41" s="23">
        <f>IF(SUM(J7:L37)=0,0,SUM(J7:L37)/'Resid Cust Fcst '!D40)-M39</f>
        <v>0</v>
      </c>
      <c r="N41" s="18"/>
      <c r="O41" s="18"/>
      <c r="P41" s="18"/>
      <c r="Q41" s="23">
        <f>IF(SUM(N7:P37)=0,0,SUM(N7:P37)/'Resid Cust Fcst '!E40)-Q39</f>
        <v>0</v>
      </c>
      <c r="R41" s="18"/>
      <c r="S41" s="18"/>
      <c r="T41" s="18"/>
      <c r="U41" s="23">
        <f>IF(SUM(R7:T37)=0,0,SUM(R7:T37)/'Resid Cust Fcst '!F40)-U39</f>
        <v>0</v>
      </c>
      <c r="V41" s="18"/>
      <c r="W41" s="18"/>
      <c r="X41" s="18"/>
      <c r="Y41" s="23">
        <f>IF(SUM(V7:X37)=0,0,SUM(V7:X37)/'Resid Cust Fcst '!G40)-Y39</f>
        <v>0</v>
      </c>
      <c r="Z41" s="18"/>
      <c r="AA41" s="18"/>
      <c r="AB41" s="18"/>
      <c r="AC41" s="23">
        <f>IF(SUM(Z7:AB37)=0,0,SUM(Z7:AB37)/'Resid Cust Fcst '!H40)-AC39</f>
        <v>0</v>
      </c>
    </row>
    <row r="42" spans="1:29">
      <c r="N42" s="50"/>
      <c r="O42" s="50"/>
      <c r="P42" s="50"/>
    </row>
    <row r="43" spans="1:29">
      <c r="N43" s="50"/>
      <c r="O43" s="50"/>
      <c r="P43" s="50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9" orientation="portrait" r:id="rId1"/>
  <headerFooter alignWithMargins="0">
    <oddFooter>&amp;L&amp;F
&amp;A&amp;R&amp;P of &amp;N</oddFooter>
  </headerFooter>
  <colBreaks count="1" manualBreakCount="1">
    <brk id="13" max="38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00642D"/>
  </sheetPr>
  <dimension ref="A1:HM51"/>
  <sheetViews>
    <sheetView zoomScaleNormal="100" workbookViewId="0">
      <pane xSplit="1" topLeftCell="B1" activePane="topRight" state="frozen"/>
      <selection pane="topRight" activeCell="R14" sqref="R14"/>
    </sheetView>
  </sheetViews>
  <sheetFormatPr defaultRowHeight="12.75"/>
  <cols>
    <col min="1" max="1" width="28.7109375" customWidth="1"/>
    <col min="2" max="5" width="7.5703125" customWidth="1"/>
    <col min="6" max="6" width="9" bestFit="1" customWidth="1"/>
    <col min="7" max="8" width="7.5703125" customWidth="1"/>
    <col min="9" max="12" width="8.7109375" customWidth="1"/>
    <col min="13" max="13" width="9.7109375" bestFit="1" customWidth="1"/>
    <col min="14" max="14" width="8.7109375" customWidth="1"/>
    <col min="15" max="15" width="6.5703125" bestFit="1" customWidth="1"/>
    <col min="16" max="19" width="8.7109375" customWidth="1"/>
    <col min="20" max="20" width="9.7109375" bestFit="1" customWidth="1"/>
    <col min="21" max="33" width="8.7109375" customWidth="1"/>
    <col min="34" max="34" width="10.7109375" bestFit="1" customWidth="1"/>
    <col min="35" max="36" width="8.7109375" customWidth="1"/>
  </cols>
  <sheetData>
    <row r="1" spans="1:221" ht="18.75" thickBot="1">
      <c r="A1" s="741" t="s">
        <v>217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  <c r="N1" s="741"/>
      <c r="O1" s="741"/>
      <c r="P1" s="741"/>
      <c r="Q1" s="741"/>
      <c r="R1" s="741"/>
      <c r="S1" s="741"/>
      <c r="T1" s="741"/>
      <c r="U1" s="741"/>
      <c r="V1" s="741"/>
      <c r="W1" s="760"/>
      <c r="X1" s="760"/>
      <c r="Y1" s="760"/>
      <c r="Z1" s="760"/>
      <c r="AA1" s="760"/>
      <c r="AB1" s="760"/>
      <c r="AC1" s="760"/>
      <c r="AD1" s="760"/>
      <c r="AE1" s="760"/>
      <c r="AF1" s="760"/>
      <c r="AG1" s="760"/>
      <c r="AH1" s="760"/>
      <c r="AI1" s="760"/>
      <c r="AJ1" s="760"/>
    </row>
    <row r="2" spans="1:221" ht="13.5" thickBot="1">
      <c r="A2" s="103"/>
      <c r="B2" s="743" t="s">
        <v>339</v>
      </c>
      <c r="C2" s="743"/>
      <c r="D2" s="743"/>
      <c r="E2" s="743"/>
      <c r="F2" s="743"/>
      <c r="G2" s="743"/>
      <c r="H2" s="744"/>
      <c r="I2" s="743" t="s">
        <v>72</v>
      </c>
      <c r="J2" s="743"/>
      <c r="K2" s="743"/>
      <c r="L2" s="743"/>
      <c r="M2" s="743"/>
      <c r="N2" s="743"/>
      <c r="O2" s="744"/>
      <c r="P2" s="742" t="s">
        <v>73</v>
      </c>
      <c r="Q2" s="743"/>
      <c r="R2" s="743"/>
      <c r="S2" s="743"/>
      <c r="T2" s="743"/>
      <c r="U2" s="743"/>
      <c r="V2" s="743"/>
      <c r="W2" s="742" t="s">
        <v>176</v>
      </c>
      <c r="X2" s="743"/>
      <c r="Y2" s="743"/>
      <c r="Z2" s="743"/>
      <c r="AA2" s="743"/>
      <c r="AB2" s="743"/>
      <c r="AC2" s="743"/>
      <c r="AD2" s="742" t="s">
        <v>105</v>
      </c>
      <c r="AE2" s="743"/>
      <c r="AF2" s="743"/>
      <c r="AG2" s="743"/>
      <c r="AH2" s="743"/>
      <c r="AI2" s="743"/>
      <c r="AJ2" s="744"/>
    </row>
    <row r="3" spans="1:221" ht="13.5" thickBot="1">
      <c r="A3" s="163"/>
      <c r="B3" s="743" t="s">
        <v>0</v>
      </c>
      <c r="C3" s="743"/>
      <c r="D3" s="743"/>
      <c r="E3" s="743"/>
      <c r="F3" s="743"/>
      <c r="G3" s="202"/>
      <c r="H3" s="218"/>
      <c r="I3" s="742" t="s">
        <v>0</v>
      </c>
      <c r="J3" s="743"/>
      <c r="K3" s="743"/>
      <c r="L3" s="743"/>
      <c r="M3" s="744"/>
      <c r="N3" s="103"/>
      <c r="O3" s="210"/>
      <c r="P3" s="751" t="s">
        <v>0</v>
      </c>
      <c r="Q3" s="745"/>
      <c r="R3" s="745"/>
      <c r="S3" s="745"/>
      <c r="T3" s="746"/>
      <c r="U3" s="103"/>
      <c r="V3" s="103"/>
      <c r="W3" s="745" t="s">
        <v>0</v>
      </c>
      <c r="X3" s="745"/>
      <c r="Y3" s="745"/>
      <c r="Z3" s="745"/>
      <c r="AA3" s="745"/>
      <c r="AB3" s="103"/>
      <c r="AC3" s="308"/>
      <c r="AD3" s="742" t="s">
        <v>0</v>
      </c>
      <c r="AE3" s="743"/>
      <c r="AF3" s="743"/>
      <c r="AG3" s="743"/>
      <c r="AH3" s="743"/>
      <c r="AI3" s="103"/>
      <c r="AJ3" s="204"/>
    </row>
    <row r="4" spans="1:221">
      <c r="A4" s="163"/>
      <c r="B4" s="349" t="s">
        <v>32</v>
      </c>
      <c r="C4" s="349" t="s">
        <v>32</v>
      </c>
      <c r="D4" s="349" t="s">
        <v>33</v>
      </c>
      <c r="E4" s="349" t="s">
        <v>34</v>
      </c>
      <c r="F4" s="349"/>
      <c r="G4" s="163"/>
      <c r="H4" s="350"/>
      <c r="I4" s="55" t="s">
        <v>32</v>
      </c>
      <c r="J4" s="203" t="s">
        <v>32</v>
      </c>
      <c r="K4" s="203" t="s">
        <v>33</v>
      </c>
      <c r="L4" s="203" t="s">
        <v>34</v>
      </c>
      <c r="M4" s="204"/>
      <c r="N4" s="163"/>
      <c r="O4" s="204"/>
      <c r="P4" s="232" t="s">
        <v>32</v>
      </c>
      <c r="Q4" s="233" t="s">
        <v>32</v>
      </c>
      <c r="R4" s="233" t="s">
        <v>33</v>
      </c>
      <c r="S4" s="233" t="s">
        <v>34</v>
      </c>
      <c r="T4" s="234"/>
      <c r="U4" s="234"/>
      <c r="V4" s="163"/>
      <c r="W4" s="307" t="s">
        <v>32</v>
      </c>
      <c r="X4" s="307" t="s">
        <v>32</v>
      </c>
      <c r="Y4" s="307" t="s">
        <v>33</v>
      </c>
      <c r="Z4" s="307" t="s">
        <v>34</v>
      </c>
      <c r="AA4" s="307"/>
      <c r="AB4" s="103"/>
      <c r="AC4" s="308"/>
      <c r="AD4" s="232" t="s">
        <v>32</v>
      </c>
      <c r="AE4" s="233" t="s">
        <v>32</v>
      </c>
      <c r="AF4" s="233" t="s">
        <v>33</v>
      </c>
      <c r="AG4" s="233" t="s">
        <v>34</v>
      </c>
      <c r="AH4" s="234"/>
      <c r="AI4" s="163"/>
      <c r="AJ4" s="204"/>
    </row>
    <row r="5" spans="1:221" ht="13.5" thickBot="1">
      <c r="A5" s="163" t="s">
        <v>4</v>
      </c>
      <c r="B5" s="26" t="s">
        <v>104</v>
      </c>
      <c r="C5" s="26" t="s">
        <v>98</v>
      </c>
      <c r="D5" s="26" t="s">
        <v>98</v>
      </c>
      <c r="E5" s="26" t="s">
        <v>98</v>
      </c>
      <c r="F5" s="26" t="s">
        <v>216</v>
      </c>
      <c r="G5" s="262" t="s">
        <v>1</v>
      </c>
      <c r="H5" s="159" t="s">
        <v>2</v>
      </c>
      <c r="I5" s="74" t="s">
        <v>104</v>
      </c>
      <c r="J5" s="26" t="s">
        <v>98</v>
      </c>
      <c r="K5" s="26" t="s">
        <v>98</v>
      </c>
      <c r="L5" s="26" t="s">
        <v>98</v>
      </c>
      <c r="M5" s="108" t="s">
        <v>216</v>
      </c>
      <c r="N5" s="262" t="s">
        <v>1</v>
      </c>
      <c r="O5" s="159" t="s">
        <v>2</v>
      </c>
      <c r="P5" s="74" t="s">
        <v>104</v>
      </c>
      <c r="Q5" s="26" t="s">
        <v>98</v>
      </c>
      <c r="R5" s="26" t="s">
        <v>98</v>
      </c>
      <c r="S5" s="26" t="s">
        <v>98</v>
      </c>
      <c r="T5" s="108" t="s">
        <v>216</v>
      </c>
      <c r="U5" s="159" t="s">
        <v>1</v>
      </c>
      <c r="V5" s="262" t="s">
        <v>2</v>
      </c>
      <c r="W5" s="26" t="s">
        <v>104</v>
      </c>
      <c r="X5" s="26" t="s">
        <v>98</v>
      </c>
      <c r="Y5" s="26" t="s">
        <v>98</v>
      </c>
      <c r="Z5" s="26" t="s">
        <v>98</v>
      </c>
      <c r="AA5" s="108" t="s">
        <v>216</v>
      </c>
      <c r="AB5" s="262" t="s">
        <v>1</v>
      </c>
      <c r="AC5" s="158" t="s">
        <v>2</v>
      </c>
      <c r="AD5" s="74" t="s">
        <v>104</v>
      </c>
      <c r="AE5" s="26" t="s">
        <v>98</v>
      </c>
      <c r="AF5" s="26" t="s">
        <v>98</v>
      </c>
      <c r="AG5" s="26" t="s">
        <v>98</v>
      </c>
      <c r="AH5" s="108" t="s">
        <v>216</v>
      </c>
      <c r="AI5" s="262" t="s">
        <v>1</v>
      </c>
      <c r="AJ5" s="169" t="s">
        <v>2</v>
      </c>
    </row>
    <row r="6" spans="1:221">
      <c r="A6" s="105"/>
      <c r="B6" s="6" t="s">
        <v>45</v>
      </c>
      <c r="C6" s="6" t="s">
        <v>45</v>
      </c>
      <c r="D6" s="6" t="s">
        <v>45</v>
      </c>
      <c r="E6" s="6" t="s">
        <v>45</v>
      </c>
      <c r="F6" s="6" t="s">
        <v>45</v>
      </c>
      <c r="G6" s="106" t="s">
        <v>45</v>
      </c>
      <c r="H6" s="105" t="s">
        <v>45</v>
      </c>
      <c r="I6" s="6" t="s">
        <v>45</v>
      </c>
      <c r="J6" s="6" t="s">
        <v>45</v>
      </c>
      <c r="K6" s="6" t="s">
        <v>45</v>
      </c>
      <c r="L6" s="6" t="s">
        <v>45</v>
      </c>
      <c r="M6" s="6" t="s">
        <v>45</v>
      </c>
      <c r="N6" s="105" t="s">
        <v>45</v>
      </c>
      <c r="O6" s="7" t="s">
        <v>45</v>
      </c>
      <c r="P6" s="104" t="s">
        <v>45</v>
      </c>
      <c r="Q6" s="8" t="s">
        <v>45</v>
      </c>
      <c r="R6" s="8" t="s">
        <v>45</v>
      </c>
      <c r="S6" s="8" t="s">
        <v>45</v>
      </c>
      <c r="T6" s="9" t="s">
        <v>45</v>
      </c>
      <c r="U6" s="9" t="s">
        <v>45</v>
      </c>
      <c r="V6" s="106" t="s">
        <v>45</v>
      </c>
      <c r="W6" s="8" t="s">
        <v>45</v>
      </c>
      <c r="X6" s="8" t="s">
        <v>45</v>
      </c>
      <c r="Y6" s="8" t="s">
        <v>45</v>
      </c>
      <c r="Z6" s="8" t="s">
        <v>45</v>
      </c>
      <c r="AA6" s="8" t="s">
        <v>45</v>
      </c>
      <c r="AB6" s="106" t="s">
        <v>45</v>
      </c>
      <c r="AC6" s="8" t="s">
        <v>45</v>
      </c>
      <c r="AD6" s="5" t="s">
        <v>45</v>
      </c>
      <c r="AE6" s="6" t="s">
        <v>45</v>
      </c>
      <c r="AF6" s="6" t="s">
        <v>45</v>
      </c>
      <c r="AG6" s="6" t="s">
        <v>45</v>
      </c>
      <c r="AH6" s="7" t="s">
        <v>45</v>
      </c>
      <c r="AI6" s="105" t="s">
        <v>45</v>
      </c>
      <c r="AJ6" s="7" t="s">
        <v>45</v>
      </c>
    </row>
    <row r="7" spans="1:221">
      <c r="A7" s="106"/>
      <c r="B7" s="8"/>
      <c r="C7" s="8"/>
      <c r="D7" s="8"/>
      <c r="E7" s="8"/>
      <c r="F7" s="8"/>
      <c r="G7" s="106"/>
      <c r="H7" s="106"/>
      <c r="I7" s="8"/>
      <c r="J7" s="8"/>
      <c r="K7" s="8"/>
      <c r="L7" s="8"/>
      <c r="M7" s="9"/>
      <c r="N7" s="106"/>
      <c r="O7" s="9"/>
      <c r="P7" s="104"/>
      <c r="Q7" s="8"/>
      <c r="R7" s="8"/>
      <c r="S7" s="8"/>
      <c r="T7" s="9"/>
      <c r="U7" s="9"/>
      <c r="V7" s="106"/>
      <c r="W7" s="8"/>
      <c r="X7" s="8"/>
      <c r="Y7" s="8"/>
      <c r="Z7" s="8"/>
      <c r="AA7" s="8"/>
      <c r="AB7" s="106"/>
      <c r="AC7" s="8"/>
      <c r="AD7" s="104"/>
      <c r="AE7" s="8"/>
      <c r="AF7" s="8"/>
      <c r="AG7" s="8"/>
      <c r="AH7" s="9"/>
      <c r="AI7" s="106"/>
      <c r="AJ7" s="9"/>
    </row>
    <row r="8" spans="1:221">
      <c r="A8" s="124" t="s">
        <v>5</v>
      </c>
      <c r="B8" s="415">
        <v>60</v>
      </c>
      <c r="C8" s="415">
        <v>3</v>
      </c>
      <c r="D8" s="415">
        <v>23</v>
      </c>
      <c r="E8" s="415">
        <v>6</v>
      </c>
      <c r="F8" s="196">
        <f>SUM(B8:E8)</f>
        <v>92</v>
      </c>
      <c r="G8" s="416"/>
      <c r="H8" s="189">
        <f>F8+G8</f>
        <v>92</v>
      </c>
      <c r="I8" s="415"/>
      <c r="J8" s="415"/>
      <c r="K8" s="415"/>
      <c r="L8" s="415"/>
      <c r="M8" s="194"/>
      <c r="N8" s="189"/>
      <c r="O8" s="194"/>
      <c r="P8" s="414"/>
      <c r="Q8" s="415"/>
      <c r="R8" s="415"/>
      <c r="S8" s="415"/>
      <c r="T8" s="197"/>
      <c r="U8" s="197"/>
      <c r="V8" s="84"/>
      <c r="W8" s="417"/>
      <c r="X8" s="417"/>
      <c r="Y8" s="417"/>
      <c r="Z8" s="417"/>
      <c r="AA8" s="378"/>
      <c r="AB8" s="84"/>
      <c r="AC8" s="81"/>
      <c r="AD8" s="414">
        <f>B8+I8+P8+W8</f>
        <v>60</v>
      </c>
      <c r="AE8" s="415">
        <f t="shared" ref="AE8:AG17" si="0">C8+J8+Q8+X8</f>
        <v>3</v>
      </c>
      <c r="AF8" s="415">
        <f t="shared" si="0"/>
        <v>23</v>
      </c>
      <c r="AG8" s="415">
        <f t="shared" si="0"/>
        <v>6</v>
      </c>
      <c r="AH8" s="194">
        <f>SUM(AD8:AG8)</f>
        <v>92</v>
      </c>
      <c r="AI8" s="416"/>
      <c r="AJ8" s="194">
        <f>AH8+AI8</f>
        <v>92</v>
      </c>
      <c r="AN8" s="301"/>
    </row>
    <row r="9" spans="1:221">
      <c r="A9" s="377" t="s">
        <v>201</v>
      </c>
      <c r="B9" s="415">
        <v>27</v>
      </c>
      <c r="C9" s="415">
        <v>0</v>
      </c>
      <c r="D9" s="415">
        <v>30</v>
      </c>
      <c r="E9" s="415">
        <v>5</v>
      </c>
      <c r="F9" s="196">
        <f>SUM(B9:E9)</f>
        <v>62</v>
      </c>
      <c r="G9" s="416"/>
      <c r="H9" s="189">
        <f>F9+G9</f>
        <v>62</v>
      </c>
      <c r="I9" s="415"/>
      <c r="J9" s="415"/>
      <c r="K9" s="415"/>
      <c r="L9" s="415"/>
      <c r="M9" s="194"/>
      <c r="N9" s="189"/>
      <c r="O9" s="194"/>
      <c r="P9" s="414"/>
      <c r="Q9" s="415"/>
      <c r="R9" s="415"/>
      <c r="S9" s="415"/>
      <c r="T9" s="197"/>
      <c r="U9" s="197"/>
      <c r="V9" s="84"/>
      <c r="W9" s="417"/>
      <c r="X9" s="417"/>
      <c r="Y9" s="417"/>
      <c r="Z9" s="417"/>
      <c r="AA9" s="378"/>
      <c r="AB9" s="84"/>
      <c r="AC9" s="81"/>
      <c r="AD9" s="414">
        <f t="shared" ref="AD9:AD15" si="1">B9+I9+P9+W9</f>
        <v>27</v>
      </c>
      <c r="AE9" s="415">
        <f t="shared" si="0"/>
        <v>0</v>
      </c>
      <c r="AF9" s="415">
        <f t="shared" si="0"/>
        <v>30</v>
      </c>
      <c r="AG9" s="415">
        <f t="shared" si="0"/>
        <v>5</v>
      </c>
      <c r="AH9" s="194">
        <f>SUM(AD9:AG9)</f>
        <v>62</v>
      </c>
      <c r="AI9" s="416"/>
      <c r="AJ9" s="194">
        <f>AH9+AI9</f>
        <v>62</v>
      </c>
      <c r="AN9" s="301"/>
    </row>
    <row r="10" spans="1:221">
      <c r="A10" s="377" t="s">
        <v>202</v>
      </c>
      <c r="B10" s="415">
        <v>28</v>
      </c>
      <c r="C10" s="415">
        <v>4</v>
      </c>
      <c r="D10" s="415">
        <v>64</v>
      </c>
      <c r="E10" s="415">
        <v>0</v>
      </c>
      <c r="F10" s="196">
        <f t="shared" ref="F10:F17" si="2">SUM(B10:E10)</f>
        <v>96</v>
      </c>
      <c r="G10" s="416"/>
      <c r="H10" s="189">
        <f t="shared" ref="H10:H17" si="3">F10+G10</f>
        <v>96</v>
      </c>
      <c r="I10" s="415"/>
      <c r="J10" s="415"/>
      <c r="K10" s="415"/>
      <c r="L10" s="415"/>
      <c r="M10" s="194"/>
      <c r="N10" s="189"/>
      <c r="O10" s="194"/>
      <c r="P10" s="414"/>
      <c r="Q10" s="415"/>
      <c r="R10" s="415"/>
      <c r="S10" s="415"/>
      <c r="T10" s="197"/>
      <c r="U10" s="197"/>
      <c r="V10" s="84"/>
      <c r="W10" s="417"/>
      <c r="X10" s="417"/>
      <c r="Y10" s="417"/>
      <c r="Z10" s="417"/>
      <c r="AA10" s="378"/>
      <c r="AB10" s="84"/>
      <c r="AC10" s="81"/>
      <c r="AD10" s="414">
        <f t="shared" si="1"/>
        <v>28</v>
      </c>
      <c r="AE10" s="415">
        <f t="shared" si="0"/>
        <v>4</v>
      </c>
      <c r="AF10" s="415">
        <f t="shared" si="0"/>
        <v>64</v>
      </c>
      <c r="AG10" s="415">
        <f t="shared" si="0"/>
        <v>0</v>
      </c>
      <c r="AH10" s="194">
        <f t="shared" ref="AH10:AH17" si="4">SUM(AD10:AG10)</f>
        <v>96</v>
      </c>
      <c r="AI10" s="416"/>
      <c r="AJ10" s="194">
        <f>AH10+AI10</f>
        <v>96</v>
      </c>
      <c r="AK10" s="178"/>
      <c r="AN10" s="301"/>
    </row>
    <row r="11" spans="1:221">
      <c r="A11" s="126" t="s">
        <v>7</v>
      </c>
      <c r="B11" s="415">
        <v>56</v>
      </c>
      <c r="C11" s="415">
        <v>4</v>
      </c>
      <c r="D11" s="415">
        <v>90</v>
      </c>
      <c r="E11" s="415">
        <v>6</v>
      </c>
      <c r="F11" s="196">
        <f t="shared" si="2"/>
        <v>156</v>
      </c>
      <c r="G11" s="416"/>
      <c r="H11" s="189">
        <f t="shared" si="3"/>
        <v>156</v>
      </c>
      <c r="I11" s="415"/>
      <c r="J11" s="415"/>
      <c r="K11" s="415"/>
      <c r="L11" s="415"/>
      <c r="M11" s="194"/>
      <c r="N11" s="189"/>
      <c r="O11" s="194"/>
      <c r="P11" s="414"/>
      <c r="Q11" s="415"/>
      <c r="R11" s="415"/>
      <c r="S11" s="415"/>
      <c r="T11" s="197"/>
      <c r="U11" s="197"/>
      <c r="V11" s="84"/>
      <c r="W11" s="417"/>
      <c r="X11" s="417"/>
      <c r="Y11" s="417"/>
      <c r="Z11" s="417"/>
      <c r="AA11" s="378"/>
      <c r="AB11" s="84"/>
      <c r="AC11" s="81"/>
      <c r="AD11" s="414">
        <f t="shared" si="1"/>
        <v>56</v>
      </c>
      <c r="AE11" s="415">
        <f t="shared" si="0"/>
        <v>4</v>
      </c>
      <c r="AF11" s="415">
        <f t="shared" si="0"/>
        <v>90</v>
      </c>
      <c r="AG11" s="415">
        <f t="shared" si="0"/>
        <v>6</v>
      </c>
      <c r="AH11" s="194">
        <f t="shared" si="4"/>
        <v>156</v>
      </c>
      <c r="AI11" s="416"/>
      <c r="AJ11" s="194">
        <f t="shared" ref="AJ11:AJ17" si="5">AH11+AI11</f>
        <v>156</v>
      </c>
      <c r="AN11" s="301"/>
    </row>
    <row r="12" spans="1:221">
      <c r="A12" s="126" t="s">
        <v>110</v>
      </c>
      <c r="B12" s="415">
        <v>50</v>
      </c>
      <c r="C12" s="415">
        <v>6</v>
      </c>
      <c r="D12" s="415">
        <v>43</v>
      </c>
      <c r="E12" s="415">
        <v>1</v>
      </c>
      <c r="F12" s="196">
        <f t="shared" si="2"/>
        <v>100</v>
      </c>
      <c r="G12" s="416"/>
      <c r="H12" s="189">
        <f t="shared" si="3"/>
        <v>100</v>
      </c>
      <c r="I12" s="415"/>
      <c r="J12" s="415"/>
      <c r="K12" s="415"/>
      <c r="L12" s="415"/>
      <c r="M12" s="194"/>
      <c r="N12" s="189"/>
      <c r="O12" s="194"/>
      <c r="P12" s="414"/>
      <c r="Q12" s="415"/>
      <c r="R12" s="415"/>
      <c r="S12" s="415"/>
      <c r="T12" s="197"/>
      <c r="U12" s="197"/>
      <c r="V12" s="84"/>
      <c r="W12" s="417"/>
      <c r="X12" s="417"/>
      <c r="Y12" s="417"/>
      <c r="Z12" s="417"/>
      <c r="AA12" s="378"/>
      <c r="AB12" s="84"/>
      <c r="AC12" s="81"/>
      <c r="AD12" s="414">
        <f t="shared" si="1"/>
        <v>50</v>
      </c>
      <c r="AE12" s="415">
        <f t="shared" si="0"/>
        <v>6</v>
      </c>
      <c r="AF12" s="415">
        <f t="shared" si="0"/>
        <v>43</v>
      </c>
      <c r="AG12" s="415">
        <f t="shared" si="0"/>
        <v>1</v>
      </c>
      <c r="AH12" s="194">
        <f t="shared" si="4"/>
        <v>100</v>
      </c>
      <c r="AI12" s="416"/>
      <c r="AJ12" s="194">
        <f t="shared" si="5"/>
        <v>100</v>
      </c>
      <c r="AN12" s="301"/>
    </row>
    <row r="13" spans="1:221">
      <c r="A13" s="124" t="s">
        <v>102</v>
      </c>
      <c r="B13" s="415">
        <v>15</v>
      </c>
      <c r="C13" s="415">
        <v>5</v>
      </c>
      <c r="D13" s="415">
        <v>23</v>
      </c>
      <c r="E13" s="415">
        <v>4</v>
      </c>
      <c r="F13" s="196">
        <f t="shared" si="2"/>
        <v>47</v>
      </c>
      <c r="G13" s="416"/>
      <c r="H13" s="189">
        <f t="shared" si="3"/>
        <v>47</v>
      </c>
      <c r="I13" s="415"/>
      <c r="J13" s="415"/>
      <c r="K13" s="415"/>
      <c r="L13" s="415"/>
      <c r="M13" s="194"/>
      <c r="N13" s="189"/>
      <c r="O13" s="194"/>
      <c r="P13" s="414">
        <v>1</v>
      </c>
      <c r="Q13" s="415"/>
      <c r="R13" s="415"/>
      <c r="S13" s="415"/>
      <c r="T13" s="197">
        <f t="shared" ref="T13:T14" si="6">SUM(P13:S13)</f>
        <v>1</v>
      </c>
      <c r="U13" s="197"/>
      <c r="V13" s="84">
        <f t="shared" ref="V13:V14" si="7">T13+U13</f>
        <v>1</v>
      </c>
      <c r="W13" s="417"/>
      <c r="X13" s="417"/>
      <c r="Y13" s="417"/>
      <c r="Z13" s="417"/>
      <c r="AA13" s="378"/>
      <c r="AB13" s="84"/>
      <c r="AC13" s="81"/>
      <c r="AD13" s="414">
        <f t="shared" si="1"/>
        <v>16</v>
      </c>
      <c r="AE13" s="415">
        <f t="shared" si="0"/>
        <v>5</v>
      </c>
      <c r="AF13" s="415">
        <f t="shared" si="0"/>
        <v>23</v>
      </c>
      <c r="AG13" s="415">
        <f t="shared" si="0"/>
        <v>4</v>
      </c>
      <c r="AH13" s="194">
        <f t="shared" si="4"/>
        <v>48</v>
      </c>
      <c r="AI13" s="416"/>
      <c r="AJ13" s="194">
        <f t="shared" si="5"/>
        <v>48</v>
      </c>
      <c r="AL13" s="178"/>
      <c r="AN13" s="301"/>
    </row>
    <row r="14" spans="1:221" s="52" customFormat="1">
      <c r="A14" s="124" t="s">
        <v>8</v>
      </c>
      <c r="B14" s="415">
        <v>41</v>
      </c>
      <c r="C14" s="415">
        <v>3</v>
      </c>
      <c r="D14" s="415">
        <v>25</v>
      </c>
      <c r="E14" s="415">
        <v>1</v>
      </c>
      <c r="F14" s="196">
        <f t="shared" si="2"/>
        <v>70</v>
      </c>
      <c r="G14" s="416"/>
      <c r="H14" s="189">
        <f t="shared" si="3"/>
        <v>70</v>
      </c>
      <c r="I14" s="415"/>
      <c r="J14" s="415"/>
      <c r="K14" s="415"/>
      <c r="L14" s="415"/>
      <c r="M14" s="194"/>
      <c r="N14" s="189"/>
      <c r="O14" s="194"/>
      <c r="P14" s="414"/>
      <c r="Q14" s="415"/>
      <c r="R14" s="415">
        <v>1</v>
      </c>
      <c r="S14" s="415"/>
      <c r="T14" s="197">
        <f t="shared" si="6"/>
        <v>1</v>
      </c>
      <c r="U14" s="197"/>
      <c r="V14" s="84">
        <f t="shared" si="7"/>
        <v>1</v>
      </c>
      <c r="W14" s="417"/>
      <c r="X14" s="417"/>
      <c r="Y14" s="417"/>
      <c r="Z14" s="417"/>
      <c r="AA14" s="378"/>
      <c r="AB14" s="84"/>
      <c r="AC14" s="81"/>
      <c r="AD14" s="414">
        <f t="shared" si="1"/>
        <v>41</v>
      </c>
      <c r="AE14" s="415">
        <f t="shared" si="0"/>
        <v>3</v>
      </c>
      <c r="AF14" s="415">
        <f t="shared" si="0"/>
        <v>26</v>
      </c>
      <c r="AG14" s="415">
        <f t="shared" si="0"/>
        <v>1</v>
      </c>
      <c r="AH14" s="194">
        <f t="shared" si="4"/>
        <v>71</v>
      </c>
      <c r="AI14" s="416"/>
      <c r="AJ14" s="194">
        <f t="shared" si="5"/>
        <v>71</v>
      </c>
      <c r="AL14" s="201"/>
      <c r="AN14" s="301"/>
    </row>
    <row r="15" spans="1:221">
      <c r="A15" s="124" t="s">
        <v>9</v>
      </c>
      <c r="B15" s="415">
        <v>6</v>
      </c>
      <c r="C15" s="415">
        <v>0</v>
      </c>
      <c r="D15" s="415">
        <v>5</v>
      </c>
      <c r="E15" s="415">
        <v>2</v>
      </c>
      <c r="F15" s="196">
        <f t="shared" si="2"/>
        <v>13</v>
      </c>
      <c r="G15" s="416"/>
      <c r="H15" s="189">
        <f t="shared" si="3"/>
        <v>13</v>
      </c>
      <c r="I15" s="415"/>
      <c r="J15" s="415"/>
      <c r="K15" s="415"/>
      <c r="L15" s="415"/>
      <c r="M15" s="194"/>
      <c r="N15" s="189"/>
      <c r="O15" s="194"/>
      <c r="P15" s="414"/>
      <c r="Q15" s="415"/>
      <c r="R15" s="415"/>
      <c r="S15" s="415"/>
      <c r="T15" s="197"/>
      <c r="U15" s="197"/>
      <c r="V15" s="84"/>
      <c r="W15" s="417"/>
      <c r="X15" s="417"/>
      <c r="Y15" s="417"/>
      <c r="Z15" s="417"/>
      <c r="AA15" s="378"/>
      <c r="AB15" s="195"/>
      <c r="AC15" s="81"/>
      <c r="AD15" s="414">
        <f t="shared" si="1"/>
        <v>6</v>
      </c>
      <c r="AE15" s="415"/>
      <c r="AF15" s="415">
        <f t="shared" si="0"/>
        <v>5</v>
      </c>
      <c r="AG15" s="415">
        <f t="shared" si="0"/>
        <v>2</v>
      </c>
      <c r="AH15" s="194">
        <f t="shared" si="4"/>
        <v>13</v>
      </c>
      <c r="AI15" s="416"/>
      <c r="AJ15" s="194">
        <f t="shared" si="5"/>
        <v>13</v>
      </c>
      <c r="AK15" s="52"/>
      <c r="AL15" s="52"/>
      <c r="AM15" s="52"/>
      <c r="AN15" s="301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2"/>
      <c r="DF15" s="52"/>
      <c r="DG15" s="52"/>
      <c r="DH15" s="52"/>
      <c r="DI15" s="52"/>
      <c r="DJ15" s="52"/>
      <c r="DK15" s="52"/>
      <c r="DL15" s="52"/>
      <c r="DM15" s="52"/>
      <c r="DN15" s="52"/>
      <c r="DO15" s="52"/>
      <c r="DP15" s="52"/>
      <c r="DQ15" s="52"/>
      <c r="DR15" s="52"/>
      <c r="DS15" s="52"/>
      <c r="DT15" s="52"/>
      <c r="DU15" s="52"/>
      <c r="DV15" s="52"/>
      <c r="DW15" s="52"/>
      <c r="DX15" s="52"/>
      <c r="DY15" s="52"/>
      <c r="DZ15" s="52"/>
      <c r="EA15" s="52"/>
      <c r="EB15" s="52"/>
      <c r="EC15" s="52"/>
      <c r="ED15" s="52"/>
      <c r="EE15" s="52"/>
      <c r="EF15" s="52"/>
      <c r="EG15" s="52"/>
      <c r="EH15" s="52"/>
      <c r="EI15" s="52"/>
      <c r="EJ15" s="52"/>
      <c r="EK15" s="52"/>
      <c r="EL15" s="52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2"/>
      <c r="EY15" s="52"/>
      <c r="EZ15" s="52"/>
      <c r="FA15" s="52"/>
      <c r="FB15" s="52"/>
      <c r="FC15" s="52"/>
      <c r="FD15" s="52"/>
      <c r="FE15" s="52"/>
      <c r="FF15" s="52"/>
      <c r="FG15" s="52"/>
      <c r="FH15" s="52"/>
      <c r="FI15" s="52"/>
      <c r="FJ15" s="52"/>
      <c r="FK15" s="52"/>
      <c r="FL15" s="52"/>
      <c r="FM15" s="52"/>
      <c r="FN15" s="52"/>
      <c r="FO15" s="52"/>
      <c r="FP15" s="52"/>
      <c r="FQ15" s="52"/>
      <c r="FR15" s="52"/>
      <c r="FS15" s="52"/>
      <c r="FT15" s="52"/>
      <c r="FU15" s="52"/>
      <c r="FV15" s="52"/>
      <c r="FW15" s="52"/>
      <c r="FX15" s="52"/>
      <c r="FY15" s="52"/>
      <c r="FZ15" s="52"/>
      <c r="GA15" s="52"/>
      <c r="GB15" s="52"/>
      <c r="GC15" s="52"/>
      <c r="GD15" s="52"/>
      <c r="GE15" s="52"/>
      <c r="GF15" s="52"/>
      <c r="GG15" s="52"/>
      <c r="GH15" s="52"/>
      <c r="GI15" s="52"/>
      <c r="GJ15" s="52"/>
      <c r="GK15" s="52"/>
      <c r="GL15" s="52"/>
      <c r="GM15" s="52"/>
      <c r="GN15" s="52"/>
      <c r="GO15" s="52"/>
      <c r="GP15" s="52"/>
      <c r="GQ15" s="52"/>
      <c r="GR15" s="52"/>
      <c r="GS15" s="52"/>
      <c r="GT15" s="52"/>
      <c r="GU15" s="52"/>
      <c r="GV15" s="52"/>
      <c r="GW15" s="52"/>
      <c r="GX15" s="52"/>
      <c r="GY15" s="52"/>
      <c r="GZ15" s="52"/>
      <c r="HA15" s="52"/>
      <c r="HB15" s="52"/>
      <c r="HC15" s="52"/>
      <c r="HD15" s="52"/>
      <c r="HE15" s="52"/>
      <c r="HF15" s="52"/>
      <c r="HG15" s="52"/>
      <c r="HH15" s="52"/>
      <c r="HI15" s="52"/>
      <c r="HJ15" s="52"/>
      <c r="HK15" s="52"/>
      <c r="HL15" s="52"/>
      <c r="HM15" s="52"/>
    </row>
    <row r="16" spans="1:221">
      <c r="A16" s="124" t="s">
        <v>10</v>
      </c>
      <c r="B16" s="415"/>
      <c r="C16" s="415"/>
      <c r="D16" s="415"/>
      <c r="E16" s="415"/>
      <c r="F16" s="196">
        <f t="shared" si="2"/>
        <v>0</v>
      </c>
      <c r="G16" s="416"/>
      <c r="H16" s="189">
        <f t="shared" si="3"/>
        <v>0</v>
      </c>
      <c r="I16" s="415"/>
      <c r="J16" s="415"/>
      <c r="K16" s="415"/>
      <c r="L16" s="415"/>
      <c r="M16" s="194"/>
      <c r="N16" s="189"/>
      <c r="O16" s="194"/>
      <c r="P16" s="414"/>
      <c r="Q16" s="415"/>
      <c r="R16" s="415"/>
      <c r="S16" s="415"/>
      <c r="T16" s="197"/>
      <c r="U16" s="197"/>
      <c r="V16" s="195"/>
      <c r="W16" s="417"/>
      <c r="X16" s="417"/>
      <c r="Y16" s="417"/>
      <c r="Z16" s="417"/>
      <c r="AA16" s="378"/>
      <c r="AB16" s="195"/>
      <c r="AC16" s="81"/>
      <c r="AD16" s="414"/>
      <c r="AE16" s="415"/>
      <c r="AF16" s="415">
        <f t="shared" si="0"/>
        <v>0</v>
      </c>
      <c r="AG16" s="415">
        <f t="shared" si="0"/>
        <v>0</v>
      </c>
      <c r="AH16" s="194">
        <f t="shared" si="4"/>
        <v>0</v>
      </c>
      <c r="AI16" s="416"/>
      <c r="AJ16" s="194">
        <f t="shared" si="5"/>
        <v>0</v>
      </c>
      <c r="AK16" s="52"/>
      <c r="AL16" s="52"/>
      <c r="AM16" s="52"/>
      <c r="AN16" s="301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52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52"/>
      <c r="FB16" s="52"/>
      <c r="FC16" s="52"/>
      <c r="FD16" s="52"/>
      <c r="FE16" s="52"/>
      <c r="FF16" s="52"/>
      <c r="FG16" s="52"/>
      <c r="FH16" s="52"/>
      <c r="FI16" s="52"/>
      <c r="FJ16" s="52"/>
      <c r="FK16" s="52"/>
      <c r="FL16" s="52"/>
      <c r="FM16" s="52"/>
      <c r="FN16" s="52"/>
      <c r="FO16" s="52"/>
      <c r="FP16" s="52"/>
      <c r="FQ16" s="52"/>
      <c r="FR16" s="52"/>
      <c r="FS16" s="52"/>
      <c r="FT16" s="52"/>
      <c r="FU16" s="52"/>
      <c r="FV16" s="52"/>
      <c r="FW16" s="52"/>
      <c r="FX16" s="52"/>
      <c r="FY16" s="52"/>
      <c r="FZ16" s="52"/>
      <c r="GA16" s="52"/>
      <c r="GB16" s="52"/>
      <c r="GC16" s="52"/>
      <c r="GD16" s="52"/>
      <c r="GE16" s="52"/>
      <c r="GF16" s="52"/>
      <c r="GG16" s="52"/>
      <c r="GH16" s="52"/>
      <c r="GI16" s="52"/>
      <c r="GJ16" s="52"/>
      <c r="GK16" s="52"/>
      <c r="GL16" s="52"/>
      <c r="GM16" s="52"/>
      <c r="GN16" s="52"/>
      <c r="GO16" s="52"/>
      <c r="GP16" s="52"/>
      <c r="GQ16" s="52"/>
      <c r="GR16" s="52"/>
      <c r="GS16" s="52"/>
      <c r="GT16" s="52"/>
      <c r="GU16" s="52"/>
      <c r="GV16" s="52"/>
      <c r="GW16" s="52"/>
      <c r="GX16" s="52"/>
      <c r="GY16" s="52"/>
      <c r="GZ16" s="52"/>
      <c r="HA16" s="52"/>
      <c r="HB16" s="52"/>
      <c r="HC16" s="52"/>
      <c r="HD16" s="52"/>
      <c r="HE16" s="52"/>
      <c r="HF16" s="52"/>
      <c r="HG16" s="52"/>
      <c r="HH16" s="52"/>
      <c r="HI16" s="52"/>
      <c r="HJ16" s="52"/>
      <c r="HK16" s="52"/>
      <c r="HL16" s="52"/>
      <c r="HM16" s="52"/>
    </row>
    <row r="17" spans="1:221">
      <c r="A17" s="124" t="s">
        <v>11</v>
      </c>
      <c r="B17" s="415"/>
      <c r="C17" s="415"/>
      <c r="D17" s="415">
        <v>4</v>
      </c>
      <c r="E17" s="415">
        <v>2</v>
      </c>
      <c r="F17" s="196">
        <f t="shared" si="2"/>
        <v>6</v>
      </c>
      <c r="G17" s="416"/>
      <c r="H17" s="189">
        <f t="shared" si="3"/>
        <v>6</v>
      </c>
      <c r="I17" s="415"/>
      <c r="J17" s="415"/>
      <c r="K17" s="415"/>
      <c r="L17" s="415"/>
      <c r="M17" s="194"/>
      <c r="N17" s="189"/>
      <c r="O17" s="194"/>
      <c r="P17" s="414"/>
      <c r="Q17" s="415"/>
      <c r="R17" s="415"/>
      <c r="S17" s="415"/>
      <c r="T17" s="197"/>
      <c r="U17" s="197"/>
      <c r="V17" s="195"/>
      <c r="W17" s="417"/>
      <c r="X17" s="417"/>
      <c r="Y17" s="417"/>
      <c r="Z17" s="417"/>
      <c r="AA17" s="378"/>
      <c r="AB17" s="195"/>
      <c r="AC17" s="81"/>
      <c r="AD17" s="414"/>
      <c r="AE17" s="415"/>
      <c r="AF17" s="415">
        <f t="shared" si="0"/>
        <v>4</v>
      </c>
      <c r="AG17" s="415">
        <f t="shared" si="0"/>
        <v>2</v>
      </c>
      <c r="AH17" s="194">
        <f t="shared" si="4"/>
        <v>6</v>
      </c>
      <c r="AI17" s="416"/>
      <c r="AJ17" s="194">
        <f t="shared" si="5"/>
        <v>6</v>
      </c>
      <c r="AK17" s="52"/>
      <c r="AL17" s="52"/>
      <c r="AM17" s="52"/>
      <c r="AN17" s="301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2"/>
      <c r="CF17" s="52"/>
      <c r="CG17" s="52"/>
      <c r="CH17" s="52"/>
      <c r="CI17" s="52"/>
      <c r="CJ17" s="52"/>
      <c r="CK17" s="52"/>
      <c r="CL17" s="52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2"/>
      <c r="CZ17" s="52"/>
      <c r="DA17" s="52"/>
      <c r="DB17" s="52"/>
      <c r="DC17" s="52"/>
      <c r="DD17" s="52"/>
      <c r="DE17" s="52"/>
      <c r="DF17" s="52"/>
      <c r="DG17" s="52"/>
      <c r="DH17" s="52"/>
      <c r="DI17" s="52"/>
      <c r="DJ17" s="52"/>
      <c r="DK17" s="52"/>
      <c r="DL17" s="52"/>
      <c r="DM17" s="52"/>
      <c r="DN17" s="52"/>
      <c r="DO17" s="52"/>
      <c r="DP17" s="52"/>
      <c r="DQ17" s="52"/>
      <c r="DR17" s="52"/>
      <c r="DS17" s="52"/>
      <c r="DT17" s="52"/>
      <c r="DU17" s="52"/>
      <c r="DV17" s="52"/>
      <c r="DW17" s="52"/>
      <c r="DX17" s="52"/>
      <c r="DY17" s="52"/>
      <c r="DZ17" s="52"/>
      <c r="EA17" s="52"/>
      <c r="EB17" s="52"/>
      <c r="EC17" s="52"/>
      <c r="ED17" s="52"/>
      <c r="EE17" s="52"/>
      <c r="EF17" s="52"/>
      <c r="EG17" s="52"/>
      <c r="EH17" s="52"/>
      <c r="EI17" s="52"/>
      <c r="EJ17" s="52"/>
      <c r="EK17" s="52"/>
      <c r="EL17" s="52"/>
      <c r="EM17" s="52"/>
      <c r="EN17" s="52"/>
      <c r="EO17" s="52"/>
      <c r="EP17" s="52"/>
      <c r="EQ17" s="52"/>
      <c r="ER17" s="52"/>
      <c r="ES17" s="52"/>
      <c r="ET17" s="52"/>
      <c r="EU17" s="52"/>
      <c r="EV17" s="52"/>
      <c r="EW17" s="52"/>
      <c r="EX17" s="52"/>
      <c r="EY17" s="52"/>
      <c r="EZ17" s="52"/>
      <c r="FA17" s="52"/>
      <c r="FB17" s="52"/>
      <c r="FC17" s="52"/>
      <c r="FD17" s="52"/>
      <c r="FE17" s="52"/>
      <c r="FF17" s="52"/>
      <c r="FG17" s="52"/>
      <c r="FH17" s="52"/>
      <c r="FI17" s="52"/>
      <c r="FJ17" s="52"/>
      <c r="FK17" s="52"/>
      <c r="FL17" s="52"/>
      <c r="FM17" s="52"/>
      <c r="FN17" s="52"/>
      <c r="FO17" s="52"/>
      <c r="FP17" s="52"/>
      <c r="FQ17" s="52"/>
      <c r="FR17" s="52"/>
      <c r="FS17" s="52"/>
      <c r="FT17" s="52"/>
      <c r="FU17" s="52"/>
      <c r="FV17" s="52"/>
      <c r="FW17" s="52"/>
      <c r="FX17" s="52"/>
      <c r="FY17" s="52"/>
      <c r="FZ17" s="52"/>
      <c r="GA17" s="52"/>
      <c r="GB17" s="52"/>
      <c r="GC17" s="52"/>
      <c r="GD17" s="52"/>
      <c r="GE17" s="52"/>
      <c r="GF17" s="52"/>
      <c r="GG17" s="52"/>
      <c r="GH17" s="52"/>
      <c r="GI17" s="52"/>
      <c r="GJ17" s="52"/>
      <c r="GK17" s="52"/>
      <c r="GL17" s="52"/>
      <c r="GM17" s="52"/>
      <c r="GN17" s="52"/>
      <c r="GO17" s="52"/>
      <c r="GP17" s="52"/>
      <c r="GQ17" s="52"/>
      <c r="GR17" s="52"/>
      <c r="GS17" s="52"/>
      <c r="GT17" s="52"/>
      <c r="GU17" s="52"/>
      <c r="GV17" s="52"/>
      <c r="GW17" s="52"/>
      <c r="GX17" s="52"/>
      <c r="GY17" s="52"/>
      <c r="GZ17" s="52"/>
      <c r="HA17" s="52"/>
      <c r="HB17" s="52"/>
      <c r="HC17" s="52"/>
      <c r="HD17" s="52"/>
      <c r="HE17" s="52"/>
      <c r="HF17" s="52"/>
      <c r="HG17" s="52"/>
      <c r="HH17" s="52"/>
      <c r="HI17" s="52"/>
      <c r="HJ17" s="52"/>
      <c r="HK17" s="52"/>
      <c r="HL17" s="52"/>
      <c r="HM17" s="52"/>
    </row>
    <row r="18" spans="1:221">
      <c r="A18" s="124" t="s">
        <v>106</v>
      </c>
      <c r="B18" s="415"/>
      <c r="C18" s="415"/>
      <c r="D18" s="415"/>
      <c r="E18" s="415"/>
      <c r="F18" s="196"/>
      <c r="G18" s="416"/>
      <c r="H18" s="189"/>
      <c r="I18" s="415"/>
      <c r="J18" s="415"/>
      <c r="K18" s="415"/>
      <c r="L18" s="415"/>
      <c r="M18" s="194"/>
      <c r="N18" s="189"/>
      <c r="O18" s="194"/>
      <c r="P18" s="123"/>
      <c r="Q18" s="177"/>
      <c r="R18" s="177"/>
      <c r="S18" s="177"/>
      <c r="T18" s="197"/>
      <c r="U18" s="197"/>
      <c r="V18" s="195"/>
      <c r="W18" s="417"/>
      <c r="X18" s="417"/>
      <c r="Y18" s="417"/>
      <c r="Z18" s="417"/>
      <c r="AA18" s="378"/>
      <c r="AB18" s="195"/>
      <c r="AC18" s="81"/>
      <c r="AD18" s="414"/>
      <c r="AE18" s="415"/>
      <c r="AF18" s="415"/>
      <c r="AG18" s="415"/>
      <c r="AH18" s="194"/>
      <c r="AI18" s="416"/>
      <c r="AJ18" s="194"/>
      <c r="AK18" s="52"/>
      <c r="AL18" s="52"/>
      <c r="AM18" s="52"/>
      <c r="AN18" s="301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2"/>
      <c r="CA18" s="52"/>
      <c r="CB18" s="52"/>
      <c r="CC18" s="52"/>
      <c r="CD18" s="52"/>
      <c r="CE18" s="52"/>
      <c r="CF18" s="52"/>
      <c r="CG18" s="52"/>
      <c r="CH18" s="52"/>
      <c r="CI18" s="52"/>
      <c r="CJ18" s="52"/>
      <c r="CK18" s="52"/>
      <c r="CL18" s="52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2"/>
      <c r="CZ18" s="52"/>
      <c r="DA18" s="52"/>
      <c r="DB18" s="52"/>
      <c r="DC18" s="52"/>
      <c r="DD18" s="52"/>
      <c r="DE18" s="52"/>
      <c r="DF18" s="52"/>
      <c r="DG18" s="52"/>
      <c r="DH18" s="52"/>
      <c r="DI18" s="52"/>
      <c r="DJ18" s="52"/>
      <c r="DK18" s="52"/>
      <c r="DL18" s="52"/>
      <c r="DM18" s="52"/>
      <c r="DN18" s="52"/>
      <c r="DO18" s="52"/>
      <c r="DP18" s="52"/>
      <c r="DQ18" s="52"/>
      <c r="DR18" s="52"/>
      <c r="DS18" s="52"/>
      <c r="DT18" s="52"/>
      <c r="DU18" s="52"/>
      <c r="DV18" s="52"/>
      <c r="DW18" s="52"/>
      <c r="DX18" s="52"/>
      <c r="DY18" s="52"/>
      <c r="DZ18" s="52"/>
      <c r="EA18" s="52"/>
      <c r="EB18" s="52"/>
      <c r="EC18" s="52"/>
      <c r="ED18" s="52"/>
      <c r="EE18" s="52"/>
      <c r="EF18" s="52"/>
      <c r="EG18" s="52"/>
      <c r="EH18" s="52"/>
      <c r="EI18" s="52"/>
      <c r="EJ18" s="52"/>
      <c r="EK18" s="52"/>
      <c r="EL18" s="52"/>
      <c r="EM18" s="52"/>
      <c r="EN18" s="52"/>
      <c r="EO18" s="52"/>
      <c r="EP18" s="52"/>
      <c r="EQ18" s="52"/>
      <c r="ER18" s="52"/>
      <c r="ES18" s="52"/>
      <c r="ET18" s="52"/>
      <c r="EU18" s="52"/>
      <c r="EV18" s="52"/>
      <c r="EW18" s="52"/>
      <c r="EX18" s="52"/>
      <c r="EY18" s="52"/>
      <c r="EZ18" s="52"/>
      <c r="FA18" s="52"/>
      <c r="FB18" s="52"/>
      <c r="FC18" s="52"/>
      <c r="FD18" s="52"/>
      <c r="FE18" s="52"/>
      <c r="FF18" s="52"/>
      <c r="FG18" s="52"/>
      <c r="FH18" s="52"/>
      <c r="FI18" s="52"/>
      <c r="FJ18" s="52"/>
      <c r="FK18" s="52"/>
      <c r="FL18" s="52"/>
      <c r="FM18" s="52"/>
      <c r="FN18" s="52"/>
      <c r="FO18" s="52"/>
      <c r="FP18" s="52"/>
      <c r="FQ18" s="52"/>
      <c r="FR18" s="52"/>
      <c r="FS18" s="52"/>
      <c r="FT18" s="52"/>
      <c r="FU18" s="52"/>
      <c r="FV18" s="52"/>
      <c r="FW18" s="52"/>
      <c r="FX18" s="52"/>
      <c r="FY18" s="52"/>
      <c r="FZ18" s="52"/>
      <c r="GA18" s="52"/>
      <c r="GB18" s="52"/>
      <c r="GC18" s="52"/>
      <c r="GD18" s="52"/>
      <c r="GE18" s="52"/>
      <c r="GF18" s="52"/>
      <c r="GG18" s="52"/>
      <c r="GH18" s="52"/>
      <c r="GI18" s="52"/>
      <c r="GJ18" s="52"/>
      <c r="GK18" s="52"/>
      <c r="GL18" s="52"/>
      <c r="GM18" s="52"/>
      <c r="GN18" s="52"/>
      <c r="GO18" s="52"/>
      <c r="GP18" s="52"/>
      <c r="GQ18" s="52"/>
      <c r="GR18" s="52"/>
      <c r="GS18" s="52"/>
      <c r="GT18" s="52"/>
      <c r="GU18" s="52"/>
      <c r="GV18" s="52"/>
      <c r="GW18" s="52"/>
      <c r="GX18" s="52"/>
      <c r="GY18" s="52"/>
      <c r="GZ18" s="52"/>
      <c r="HA18" s="52"/>
      <c r="HB18" s="52"/>
      <c r="HC18" s="52"/>
      <c r="HD18" s="52"/>
      <c r="HE18" s="52"/>
      <c r="HF18" s="52"/>
      <c r="HG18" s="52"/>
      <c r="HH18" s="52"/>
      <c r="HI18" s="52"/>
      <c r="HJ18" s="52"/>
      <c r="HK18" s="52"/>
      <c r="HL18" s="52"/>
      <c r="HM18" s="52"/>
    </row>
    <row r="19" spans="1:221">
      <c r="A19" s="124" t="s">
        <v>107</v>
      </c>
      <c r="B19" s="415"/>
      <c r="C19" s="415"/>
      <c r="D19" s="415"/>
      <c r="E19" s="415"/>
      <c r="F19" s="196"/>
      <c r="G19" s="416"/>
      <c r="H19" s="189"/>
      <c r="I19" s="415"/>
      <c r="J19" s="415"/>
      <c r="K19" s="415"/>
      <c r="L19" s="415"/>
      <c r="M19" s="194"/>
      <c r="N19" s="189"/>
      <c r="O19" s="194"/>
      <c r="P19" s="123"/>
      <c r="Q19" s="177"/>
      <c r="R19" s="177"/>
      <c r="S19" s="177"/>
      <c r="T19" s="197"/>
      <c r="U19" s="197"/>
      <c r="V19" s="195"/>
      <c r="W19" s="417"/>
      <c r="X19" s="417"/>
      <c r="Y19" s="417"/>
      <c r="Z19" s="417"/>
      <c r="AA19" s="378"/>
      <c r="AB19" s="195"/>
      <c r="AC19" s="81"/>
      <c r="AD19" s="414"/>
      <c r="AE19" s="415"/>
      <c r="AF19" s="415"/>
      <c r="AG19" s="415"/>
      <c r="AH19" s="194"/>
      <c r="AI19" s="416"/>
      <c r="AJ19" s="194"/>
      <c r="AK19" s="52"/>
      <c r="AL19" s="52"/>
      <c r="AM19" s="52"/>
      <c r="AN19" s="301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52"/>
      <c r="FB19" s="52"/>
      <c r="FC19" s="52"/>
      <c r="FD19" s="52"/>
      <c r="FE19" s="52"/>
      <c r="FF19" s="52"/>
      <c r="FG19" s="52"/>
      <c r="FH19" s="52"/>
      <c r="FI19" s="52"/>
      <c r="FJ19" s="52"/>
      <c r="FK19" s="52"/>
      <c r="FL19" s="52"/>
      <c r="FM19" s="52"/>
      <c r="FN19" s="52"/>
      <c r="FO19" s="52"/>
      <c r="FP19" s="52"/>
      <c r="FQ19" s="52"/>
      <c r="FR19" s="52"/>
      <c r="FS19" s="52"/>
      <c r="FT19" s="52"/>
      <c r="FU19" s="52"/>
      <c r="FV19" s="52"/>
      <c r="FW19" s="52"/>
      <c r="FX19" s="52"/>
      <c r="FY19" s="52"/>
      <c r="FZ19" s="52"/>
      <c r="GA19" s="52"/>
      <c r="GB19" s="52"/>
      <c r="GC19" s="52"/>
      <c r="GD19" s="52"/>
      <c r="GE19" s="52"/>
      <c r="GF19" s="52"/>
      <c r="GG19" s="52"/>
      <c r="GH19" s="52"/>
      <c r="GI19" s="52"/>
      <c r="GJ19" s="52"/>
      <c r="GK19" s="52"/>
      <c r="GL19" s="52"/>
      <c r="GM19" s="52"/>
      <c r="GN19" s="52"/>
      <c r="GO19" s="52"/>
      <c r="GP19" s="52"/>
      <c r="GQ19" s="52"/>
      <c r="GR19" s="52"/>
      <c r="GS19" s="52"/>
      <c r="GT19" s="52"/>
      <c r="GU19" s="52"/>
      <c r="GV19" s="52"/>
      <c r="GW19" s="52"/>
      <c r="GX19" s="52"/>
      <c r="GY19" s="52"/>
      <c r="GZ19" s="52"/>
      <c r="HA19" s="52"/>
      <c r="HB19" s="52"/>
      <c r="HC19" s="52"/>
      <c r="HD19" s="52"/>
      <c r="HE19" s="52"/>
      <c r="HF19" s="52"/>
      <c r="HG19" s="52"/>
      <c r="HH19" s="52"/>
      <c r="HI19" s="52"/>
      <c r="HJ19" s="52"/>
      <c r="HK19" s="52"/>
      <c r="HL19" s="52"/>
      <c r="HM19" s="52"/>
    </row>
    <row r="20" spans="1:221">
      <c r="A20" s="124" t="s">
        <v>12</v>
      </c>
      <c r="B20" s="415"/>
      <c r="C20" s="415"/>
      <c r="D20" s="415"/>
      <c r="E20" s="415"/>
      <c r="F20" s="196"/>
      <c r="G20" s="416"/>
      <c r="H20" s="189"/>
      <c r="I20" s="415"/>
      <c r="J20" s="415"/>
      <c r="K20" s="415"/>
      <c r="L20" s="415"/>
      <c r="M20" s="194"/>
      <c r="N20" s="189"/>
      <c r="O20" s="194"/>
      <c r="P20" s="123"/>
      <c r="Q20" s="177"/>
      <c r="R20" s="177"/>
      <c r="S20" s="177"/>
      <c r="T20" s="197"/>
      <c r="U20" s="197"/>
      <c r="V20" s="195"/>
      <c r="W20" s="417"/>
      <c r="X20" s="417"/>
      <c r="Y20" s="417"/>
      <c r="Z20" s="417"/>
      <c r="AA20" s="378"/>
      <c r="AB20" s="195"/>
      <c r="AC20" s="81"/>
      <c r="AD20" s="414"/>
      <c r="AE20" s="415"/>
      <c r="AF20" s="415"/>
      <c r="AG20" s="415"/>
      <c r="AH20" s="194"/>
      <c r="AI20" s="416"/>
      <c r="AJ20" s="194"/>
      <c r="AK20" s="52"/>
      <c r="AL20" s="52"/>
      <c r="AM20" s="52"/>
      <c r="AN20" s="301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  <c r="FW20" s="52"/>
      <c r="FX20" s="52"/>
      <c r="FY20" s="52"/>
      <c r="FZ20" s="52"/>
      <c r="GA20" s="52"/>
      <c r="GB20" s="52"/>
      <c r="GC20" s="52"/>
      <c r="GD20" s="52"/>
      <c r="GE20" s="52"/>
      <c r="GF20" s="52"/>
      <c r="GG20" s="52"/>
      <c r="GH20" s="52"/>
      <c r="GI20" s="52"/>
      <c r="GJ20" s="52"/>
      <c r="GK20" s="52"/>
      <c r="GL20" s="52"/>
      <c r="GM20" s="52"/>
      <c r="GN20" s="52"/>
      <c r="GO20" s="52"/>
      <c r="GP20" s="52"/>
      <c r="GQ20" s="52"/>
      <c r="GR20" s="52"/>
      <c r="GS20" s="52"/>
      <c r="GT20" s="52"/>
      <c r="GU20" s="52"/>
      <c r="GV20" s="52"/>
      <c r="GW20" s="52"/>
      <c r="GX20" s="52"/>
      <c r="GY20" s="52"/>
      <c r="GZ20" s="52"/>
      <c r="HA20" s="52"/>
      <c r="HB20" s="52"/>
      <c r="HC20" s="52"/>
      <c r="HD20" s="52"/>
      <c r="HE20" s="52"/>
      <c r="HF20" s="52"/>
      <c r="HG20" s="52"/>
      <c r="HH20" s="52"/>
      <c r="HI20" s="52"/>
      <c r="HJ20" s="52"/>
      <c r="HK20" s="52"/>
      <c r="HL20" s="52"/>
      <c r="HM20" s="52"/>
    </row>
    <row r="21" spans="1:221">
      <c r="A21" s="124" t="s">
        <v>13</v>
      </c>
      <c r="B21" s="415"/>
      <c r="C21" s="415"/>
      <c r="D21" s="415"/>
      <c r="E21" s="415"/>
      <c r="F21" s="196"/>
      <c r="G21" s="416"/>
      <c r="H21" s="189"/>
      <c r="I21" s="415"/>
      <c r="J21" s="415"/>
      <c r="K21" s="415"/>
      <c r="L21" s="415"/>
      <c r="M21" s="194"/>
      <c r="N21" s="189"/>
      <c r="O21" s="194"/>
      <c r="P21" s="123"/>
      <c r="Q21" s="177"/>
      <c r="R21" s="177"/>
      <c r="S21" s="177"/>
      <c r="T21" s="197"/>
      <c r="U21" s="197"/>
      <c r="V21" s="195"/>
      <c r="W21" s="417"/>
      <c r="X21" s="417"/>
      <c r="Y21" s="417"/>
      <c r="Z21" s="417"/>
      <c r="AA21" s="378"/>
      <c r="AB21" s="195"/>
      <c r="AC21" s="81"/>
      <c r="AD21" s="414"/>
      <c r="AE21" s="415"/>
      <c r="AF21" s="415"/>
      <c r="AG21" s="415"/>
      <c r="AH21" s="194"/>
      <c r="AI21" s="416"/>
      <c r="AJ21" s="194"/>
      <c r="AK21" s="52"/>
      <c r="AL21" s="52"/>
      <c r="AM21" s="52"/>
      <c r="AN21" s="301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52"/>
      <c r="DS21" s="52"/>
      <c r="DT21" s="52"/>
      <c r="DU21" s="52"/>
      <c r="DV21" s="52"/>
      <c r="DW21" s="52"/>
      <c r="DX21" s="52"/>
      <c r="DY21" s="52"/>
      <c r="DZ21" s="52"/>
      <c r="EA21" s="52"/>
      <c r="EB21" s="52"/>
      <c r="EC21" s="52"/>
      <c r="ED21" s="52"/>
      <c r="EE21" s="52"/>
      <c r="EF21" s="52"/>
      <c r="EG21" s="52"/>
      <c r="EH21" s="52"/>
      <c r="EI21" s="52"/>
      <c r="EJ21" s="52"/>
      <c r="EK21" s="52"/>
      <c r="EL21" s="52"/>
      <c r="EM21" s="52"/>
      <c r="EN21" s="52"/>
      <c r="EO21" s="52"/>
      <c r="EP21" s="52"/>
      <c r="EQ21" s="52"/>
      <c r="ER21" s="52"/>
      <c r="ES21" s="52"/>
      <c r="ET21" s="52"/>
      <c r="EU21" s="52"/>
      <c r="EV21" s="52"/>
      <c r="EW21" s="52"/>
      <c r="EX21" s="52"/>
      <c r="EY21" s="52"/>
      <c r="EZ21" s="52"/>
      <c r="FA21" s="52"/>
      <c r="FB21" s="52"/>
      <c r="FC21" s="52"/>
      <c r="FD21" s="52"/>
      <c r="FE21" s="52"/>
      <c r="FF21" s="52"/>
      <c r="FG21" s="52"/>
      <c r="FH21" s="52"/>
      <c r="FI21" s="52"/>
      <c r="FJ21" s="52"/>
      <c r="FK21" s="52"/>
      <c r="FL21" s="52"/>
      <c r="FM21" s="52"/>
      <c r="FN21" s="52"/>
      <c r="FO21" s="52"/>
      <c r="FP21" s="52"/>
      <c r="FQ21" s="52"/>
      <c r="FR21" s="52"/>
      <c r="FS21" s="52"/>
      <c r="FT21" s="52"/>
      <c r="FU21" s="52"/>
      <c r="FV21" s="52"/>
      <c r="FW21" s="52"/>
      <c r="FX21" s="52"/>
      <c r="FY21" s="52"/>
      <c r="FZ21" s="52"/>
      <c r="GA21" s="52"/>
      <c r="GB21" s="52"/>
      <c r="GC21" s="52"/>
      <c r="GD21" s="52"/>
      <c r="GE21" s="52"/>
      <c r="GF21" s="52"/>
      <c r="GG21" s="52"/>
      <c r="GH21" s="52"/>
      <c r="GI21" s="52"/>
      <c r="GJ21" s="52"/>
      <c r="GK21" s="52"/>
      <c r="GL21" s="52"/>
      <c r="GM21" s="52"/>
      <c r="GN21" s="52"/>
      <c r="GO21" s="52"/>
      <c r="GP21" s="52"/>
      <c r="GQ21" s="52"/>
      <c r="GR21" s="52"/>
      <c r="GS21" s="52"/>
      <c r="GT21" s="52"/>
      <c r="GU21" s="52"/>
      <c r="GV21" s="52"/>
      <c r="GW21" s="52"/>
      <c r="GX21" s="52"/>
      <c r="GY21" s="52"/>
      <c r="GZ21" s="52"/>
      <c r="HA21" s="52"/>
      <c r="HB21" s="52"/>
      <c r="HC21" s="52"/>
      <c r="HD21" s="52"/>
      <c r="HE21" s="52"/>
      <c r="HF21" s="52"/>
      <c r="HG21" s="52"/>
      <c r="HH21" s="52"/>
      <c r="HI21" s="52"/>
      <c r="HJ21" s="52"/>
      <c r="HK21" s="52"/>
      <c r="HL21" s="52"/>
      <c r="HM21" s="52"/>
    </row>
    <row r="22" spans="1:221">
      <c r="A22" s="124" t="s">
        <v>108</v>
      </c>
      <c r="B22" s="415"/>
      <c r="C22" s="415"/>
      <c r="D22" s="415"/>
      <c r="E22" s="415"/>
      <c r="F22" s="196"/>
      <c r="G22" s="416"/>
      <c r="H22" s="189"/>
      <c r="I22" s="196"/>
      <c r="J22" s="196"/>
      <c r="K22" s="196"/>
      <c r="L22" s="196"/>
      <c r="M22" s="194"/>
      <c r="N22" s="189"/>
      <c r="O22" s="194"/>
      <c r="P22" s="123"/>
      <c r="Q22" s="177"/>
      <c r="R22" s="177"/>
      <c r="S22" s="177"/>
      <c r="T22" s="197"/>
      <c r="U22" s="197"/>
      <c r="V22" s="195"/>
      <c r="W22" s="417"/>
      <c r="X22" s="417"/>
      <c r="Y22" s="417"/>
      <c r="Z22" s="417"/>
      <c r="AA22" s="378"/>
      <c r="AB22" s="195"/>
      <c r="AC22" s="81"/>
      <c r="AD22" s="414"/>
      <c r="AE22" s="415"/>
      <c r="AF22" s="415"/>
      <c r="AG22" s="415"/>
      <c r="AH22" s="194"/>
      <c r="AI22" s="416"/>
      <c r="AJ22" s="194"/>
      <c r="AK22" s="52"/>
      <c r="AL22" s="52"/>
      <c r="AM22" s="52"/>
      <c r="AN22" s="301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  <c r="CZ22" s="52"/>
      <c r="DA22" s="52"/>
      <c r="DB22" s="52"/>
      <c r="DC22" s="52"/>
      <c r="DD22" s="52"/>
      <c r="DE22" s="52"/>
      <c r="DF22" s="52"/>
      <c r="DG22" s="52"/>
      <c r="DH22" s="52"/>
      <c r="DI22" s="52"/>
      <c r="DJ22" s="52"/>
      <c r="DK22" s="52"/>
      <c r="DL22" s="52"/>
      <c r="DM22" s="52"/>
      <c r="DN22" s="52"/>
      <c r="DO22" s="52"/>
      <c r="DP22" s="52"/>
      <c r="DQ22" s="52"/>
      <c r="DR22" s="52"/>
      <c r="DS22" s="52"/>
      <c r="DT22" s="52"/>
      <c r="DU22" s="52"/>
      <c r="DV22" s="52"/>
      <c r="DW22" s="52"/>
      <c r="DX22" s="52"/>
      <c r="DY22" s="52"/>
      <c r="DZ22" s="52"/>
      <c r="EA22" s="52"/>
      <c r="EB22" s="52"/>
      <c r="EC22" s="52"/>
      <c r="ED22" s="52"/>
      <c r="EE22" s="52"/>
      <c r="EF22" s="52"/>
      <c r="EG22" s="52"/>
      <c r="EH22" s="52"/>
      <c r="EI22" s="52"/>
      <c r="EJ22" s="52"/>
      <c r="EK22" s="52"/>
      <c r="EL22" s="52"/>
      <c r="EM22" s="52"/>
      <c r="EN22" s="52"/>
      <c r="EO22" s="52"/>
      <c r="EP22" s="52"/>
      <c r="EQ22" s="52"/>
      <c r="ER22" s="52"/>
      <c r="ES22" s="52"/>
      <c r="ET22" s="52"/>
      <c r="EU22" s="52"/>
      <c r="EV22" s="52"/>
      <c r="EW22" s="52"/>
      <c r="EX22" s="52"/>
      <c r="EY22" s="52"/>
      <c r="EZ22" s="52"/>
      <c r="FA22" s="52"/>
      <c r="FB22" s="52"/>
      <c r="FC22" s="52"/>
      <c r="FD22" s="52"/>
      <c r="FE22" s="52"/>
      <c r="FF22" s="52"/>
      <c r="FG22" s="52"/>
      <c r="FH22" s="52"/>
      <c r="FI22" s="52"/>
      <c r="FJ22" s="52"/>
      <c r="FK22" s="52"/>
      <c r="FL22" s="52"/>
      <c r="FM22" s="52"/>
      <c r="FN22" s="52"/>
      <c r="FO22" s="52"/>
      <c r="FP22" s="52"/>
      <c r="FQ22" s="52"/>
      <c r="FR22" s="52"/>
      <c r="FS22" s="52"/>
      <c r="FT22" s="52"/>
      <c r="FU22" s="52"/>
      <c r="FV22" s="52"/>
      <c r="FW22" s="52"/>
      <c r="FX22" s="52"/>
      <c r="FY22" s="52"/>
      <c r="FZ22" s="52"/>
      <c r="GA22" s="52"/>
      <c r="GB22" s="52"/>
      <c r="GC22" s="52"/>
      <c r="GD22" s="52"/>
      <c r="GE22" s="52"/>
      <c r="GF22" s="52"/>
      <c r="GG22" s="52"/>
      <c r="GH22" s="52"/>
      <c r="GI22" s="52"/>
      <c r="GJ22" s="52"/>
      <c r="GK22" s="52"/>
      <c r="GL22" s="52"/>
      <c r="GM22" s="52"/>
      <c r="GN22" s="52"/>
      <c r="GO22" s="52"/>
      <c r="GP22" s="52"/>
      <c r="GQ22" s="52"/>
      <c r="GR22" s="52"/>
      <c r="GS22" s="52"/>
      <c r="GT22" s="52"/>
      <c r="GU22" s="52"/>
      <c r="GV22" s="52"/>
      <c r="GW22" s="52"/>
      <c r="GX22" s="52"/>
      <c r="GY22" s="52"/>
      <c r="GZ22" s="52"/>
      <c r="HA22" s="52"/>
      <c r="HB22" s="52"/>
      <c r="HC22" s="52"/>
      <c r="HD22" s="52"/>
      <c r="HE22" s="52"/>
      <c r="HF22" s="52"/>
      <c r="HG22" s="52"/>
      <c r="HH22" s="52"/>
      <c r="HI22" s="52"/>
      <c r="HJ22" s="52"/>
      <c r="HK22" s="52"/>
      <c r="HL22" s="52"/>
      <c r="HM22" s="52"/>
    </row>
    <row r="23" spans="1:221">
      <c r="A23" s="124" t="s">
        <v>109</v>
      </c>
      <c r="B23" s="415"/>
      <c r="C23" s="415"/>
      <c r="D23" s="415"/>
      <c r="E23" s="415"/>
      <c r="F23" s="196"/>
      <c r="G23" s="416"/>
      <c r="H23" s="189"/>
      <c r="I23" s="196"/>
      <c r="J23" s="196"/>
      <c r="K23" s="196"/>
      <c r="L23" s="196"/>
      <c r="M23" s="194"/>
      <c r="N23" s="189"/>
      <c r="O23" s="194"/>
      <c r="P23" s="123"/>
      <c r="Q23" s="177"/>
      <c r="R23" s="177"/>
      <c r="S23" s="177"/>
      <c r="T23" s="197"/>
      <c r="U23" s="197"/>
      <c r="V23" s="195"/>
      <c r="W23" s="417"/>
      <c r="X23" s="417"/>
      <c r="Y23" s="417"/>
      <c r="Z23" s="417"/>
      <c r="AA23" s="378"/>
      <c r="AB23" s="195"/>
      <c r="AC23" s="81"/>
      <c r="AD23" s="414"/>
      <c r="AE23" s="415"/>
      <c r="AF23" s="415"/>
      <c r="AG23" s="415"/>
      <c r="AH23" s="194"/>
      <c r="AI23" s="416"/>
      <c r="AJ23" s="194"/>
      <c r="AK23" s="52"/>
      <c r="AL23" s="52"/>
      <c r="AM23" s="52"/>
      <c r="AN23" s="301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  <c r="CJ23" s="52"/>
      <c r="CK23" s="52"/>
      <c r="CL23" s="52"/>
      <c r="CM23" s="52"/>
      <c r="CN23" s="52"/>
      <c r="CO23" s="52"/>
      <c r="CP23" s="52"/>
      <c r="CQ23" s="52"/>
      <c r="CR23" s="52"/>
      <c r="CS23" s="52"/>
      <c r="CT23" s="52"/>
      <c r="CU23" s="52"/>
      <c r="CV23" s="52"/>
      <c r="CW23" s="52"/>
      <c r="CX23" s="52"/>
      <c r="CY23" s="52"/>
      <c r="CZ23" s="52"/>
      <c r="DA23" s="52"/>
      <c r="DB23" s="52"/>
      <c r="DC23" s="52"/>
      <c r="DD23" s="52"/>
      <c r="DE23" s="52"/>
      <c r="DF23" s="52"/>
      <c r="DG23" s="52"/>
      <c r="DH23" s="52"/>
      <c r="DI23" s="52"/>
      <c r="DJ23" s="52"/>
      <c r="DK23" s="52"/>
      <c r="DL23" s="52"/>
      <c r="DM23" s="52"/>
      <c r="DN23" s="52"/>
      <c r="DO23" s="52"/>
      <c r="DP23" s="52"/>
      <c r="DQ23" s="52"/>
      <c r="DR23" s="52"/>
      <c r="DS23" s="52"/>
      <c r="DT23" s="52"/>
      <c r="DU23" s="52"/>
      <c r="DV23" s="52"/>
      <c r="DW23" s="52"/>
      <c r="DX23" s="52"/>
      <c r="DY23" s="52"/>
      <c r="DZ23" s="52"/>
      <c r="EA23" s="52"/>
      <c r="EB23" s="52"/>
      <c r="EC23" s="52"/>
      <c r="ED23" s="52"/>
      <c r="EE23" s="52"/>
      <c r="EF23" s="52"/>
      <c r="EG23" s="52"/>
      <c r="EH23" s="52"/>
      <c r="EI23" s="52"/>
      <c r="EJ23" s="52"/>
      <c r="EK23" s="52"/>
      <c r="EL23" s="52"/>
      <c r="EM23" s="52"/>
      <c r="EN23" s="52"/>
      <c r="EO23" s="52"/>
      <c r="EP23" s="52"/>
      <c r="EQ23" s="52"/>
      <c r="ER23" s="52"/>
      <c r="ES23" s="52"/>
      <c r="ET23" s="52"/>
      <c r="EU23" s="52"/>
      <c r="EV23" s="52"/>
      <c r="EW23" s="52"/>
      <c r="EX23" s="52"/>
      <c r="EY23" s="52"/>
      <c r="EZ23" s="52"/>
      <c r="FA23" s="52"/>
      <c r="FB23" s="52"/>
      <c r="FC23" s="52"/>
      <c r="FD23" s="52"/>
      <c r="FE23" s="52"/>
      <c r="FF23" s="52"/>
      <c r="FG23" s="52"/>
      <c r="FH23" s="52"/>
      <c r="FI23" s="52"/>
      <c r="FJ23" s="52"/>
      <c r="FK23" s="52"/>
      <c r="FL23" s="52"/>
      <c r="FM23" s="52"/>
      <c r="FN23" s="52"/>
      <c r="FO23" s="52"/>
      <c r="FP23" s="52"/>
      <c r="FQ23" s="52"/>
      <c r="FR23" s="52"/>
      <c r="FS23" s="52"/>
      <c r="FT23" s="52"/>
      <c r="FU23" s="52"/>
      <c r="FV23" s="52"/>
      <c r="FW23" s="52"/>
      <c r="FX23" s="52"/>
      <c r="FY23" s="52"/>
      <c r="FZ23" s="52"/>
      <c r="GA23" s="52"/>
      <c r="GB23" s="52"/>
      <c r="GC23" s="52"/>
      <c r="GD23" s="52"/>
      <c r="GE23" s="52"/>
      <c r="GF23" s="52"/>
      <c r="GG23" s="52"/>
      <c r="GH23" s="52"/>
      <c r="GI23" s="52"/>
      <c r="GJ23" s="52"/>
      <c r="GK23" s="52"/>
      <c r="GL23" s="52"/>
      <c r="GM23" s="52"/>
      <c r="GN23" s="52"/>
      <c r="GO23" s="52"/>
      <c r="GP23" s="52"/>
      <c r="GQ23" s="52"/>
      <c r="GR23" s="52"/>
      <c r="GS23" s="52"/>
      <c r="GT23" s="52"/>
      <c r="GU23" s="52"/>
      <c r="GV23" s="52"/>
      <c r="GW23" s="52"/>
      <c r="GX23" s="52"/>
      <c r="GY23" s="52"/>
      <c r="GZ23" s="52"/>
      <c r="HA23" s="52"/>
      <c r="HB23" s="52"/>
      <c r="HC23" s="52"/>
      <c r="HD23" s="52"/>
      <c r="HE23" s="52"/>
      <c r="HF23" s="52"/>
      <c r="HG23" s="52"/>
      <c r="HH23" s="52"/>
      <c r="HI23" s="52"/>
      <c r="HJ23" s="52"/>
      <c r="HK23" s="52"/>
      <c r="HL23" s="52"/>
      <c r="HM23" s="52"/>
    </row>
    <row r="24" spans="1:221" s="52" customFormat="1">
      <c r="A24" s="124" t="s">
        <v>14</v>
      </c>
      <c r="B24" s="415"/>
      <c r="C24" s="415"/>
      <c r="D24" s="415"/>
      <c r="E24" s="415"/>
      <c r="F24" s="196"/>
      <c r="G24" s="416"/>
      <c r="H24" s="189"/>
      <c r="I24" s="196"/>
      <c r="J24" s="196"/>
      <c r="K24" s="196"/>
      <c r="L24" s="196"/>
      <c r="M24" s="194"/>
      <c r="N24" s="189"/>
      <c r="O24" s="194"/>
      <c r="P24" s="123"/>
      <c r="Q24" s="177"/>
      <c r="R24" s="177"/>
      <c r="S24" s="177"/>
      <c r="T24" s="197"/>
      <c r="U24" s="197"/>
      <c r="V24" s="195"/>
      <c r="W24" s="417"/>
      <c r="X24" s="417"/>
      <c r="Y24" s="417"/>
      <c r="Z24" s="417"/>
      <c r="AA24" s="378"/>
      <c r="AB24" s="195"/>
      <c r="AC24" s="81"/>
      <c r="AD24" s="414"/>
      <c r="AE24" s="415"/>
      <c r="AF24" s="415"/>
      <c r="AG24" s="415"/>
      <c r="AH24" s="194"/>
      <c r="AI24" s="416"/>
      <c r="AJ24" s="194"/>
      <c r="AN24" s="301"/>
    </row>
    <row r="25" spans="1:221" s="52" customFormat="1">
      <c r="A25" s="124" t="s">
        <v>15</v>
      </c>
      <c r="B25" s="415"/>
      <c r="C25" s="415"/>
      <c r="D25" s="415"/>
      <c r="E25" s="415"/>
      <c r="F25" s="196"/>
      <c r="G25" s="416"/>
      <c r="H25" s="189"/>
      <c r="I25" s="196"/>
      <c r="J25" s="196"/>
      <c r="K25" s="196"/>
      <c r="L25" s="196"/>
      <c r="M25" s="194"/>
      <c r="N25" s="189"/>
      <c r="O25" s="194"/>
      <c r="P25" s="123"/>
      <c r="Q25" s="177"/>
      <c r="R25" s="177"/>
      <c r="S25" s="177"/>
      <c r="T25" s="197"/>
      <c r="U25" s="197"/>
      <c r="V25" s="195"/>
      <c r="W25" s="417"/>
      <c r="X25" s="417"/>
      <c r="Y25" s="417"/>
      <c r="Z25" s="417"/>
      <c r="AA25" s="378"/>
      <c r="AB25" s="195"/>
      <c r="AC25" s="81"/>
      <c r="AD25" s="414"/>
      <c r="AE25" s="415"/>
      <c r="AF25" s="415"/>
      <c r="AG25" s="415"/>
      <c r="AH25" s="194"/>
      <c r="AI25" s="416"/>
      <c r="AJ25" s="194"/>
      <c r="AN25" s="301"/>
    </row>
    <row r="26" spans="1:221">
      <c r="A26" s="124" t="s">
        <v>16</v>
      </c>
      <c r="B26" s="415"/>
      <c r="C26" s="415"/>
      <c r="D26" s="415"/>
      <c r="E26" s="415"/>
      <c r="F26" s="196"/>
      <c r="G26" s="416"/>
      <c r="H26" s="189"/>
      <c r="I26" s="196"/>
      <c r="J26" s="196"/>
      <c r="K26" s="196"/>
      <c r="L26" s="196"/>
      <c r="M26" s="194"/>
      <c r="N26" s="189"/>
      <c r="O26" s="194"/>
      <c r="P26" s="123"/>
      <c r="Q26" s="177"/>
      <c r="R26" s="177"/>
      <c r="S26" s="177"/>
      <c r="T26" s="197"/>
      <c r="U26" s="197"/>
      <c r="V26" s="195"/>
      <c r="W26" s="417"/>
      <c r="X26" s="417"/>
      <c r="Y26" s="417"/>
      <c r="Z26" s="417"/>
      <c r="AA26" s="378"/>
      <c r="AB26" s="195"/>
      <c r="AC26" s="81"/>
      <c r="AD26" s="414"/>
      <c r="AE26" s="415"/>
      <c r="AF26" s="415"/>
      <c r="AG26" s="415"/>
      <c r="AH26" s="194"/>
      <c r="AI26" s="416"/>
      <c r="AJ26" s="194"/>
      <c r="AN26" s="301"/>
    </row>
    <row r="27" spans="1:221">
      <c r="A27" s="124" t="s">
        <v>17</v>
      </c>
      <c r="B27" s="415"/>
      <c r="C27" s="415"/>
      <c r="D27" s="415"/>
      <c r="E27" s="415"/>
      <c r="F27" s="196"/>
      <c r="G27" s="416"/>
      <c r="H27" s="189"/>
      <c r="I27" s="196"/>
      <c r="J27" s="196"/>
      <c r="K27" s="196"/>
      <c r="L27" s="196"/>
      <c r="M27" s="194"/>
      <c r="N27" s="189"/>
      <c r="O27" s="194"/>
      <c r="P27" s="123"/>
      <c r="Q27" s="177"/>
      <c r="R27" s="177"/>
      <c r="S27" s="177"/>
      <c r="T27" s="197"/>
      <c r="U27" s="197"/>
      <c r="V27" s="195"/>
      <c r="W27" s="417"/>
      <c r="X27" s="417"/>
      <c r="Y27" s="417"/>
      <c r="Z27" s="417"/>
      <c r="AA27" s="378"/>
      <c r="AB27" s="195"/>
      <c r="AC27" s="81"/>
      <c r="AD27" s="414"/>
      <c r="AE27" s="415"/>
      <c r="AF27" s="415"/>
      <c r="AG27" s="415"/>
      <c r="AH27" s="194"/>
      <c r="AI27" s="416"/>
      <c r="AJ27" s="194"/>
      <c r="AN27" s="301"/>
    </row>
    <row r="28" spans="1:221">
      <c r="A28" s="124" t="s">
        <v>18</v>
      </c>
      <c r="B28" s="415"/>
      <c r="C28" s="415"/>
      <c r="D28" s="415"/>
      <c r="E28" s="415"/>
      <c r="F28" s="196"/>
      <c r="G28" s="416"/>
      <c r="H28" s="189"/>
      <c r="I28" s="196"/>
      <c r="J28" s="196"/>
      <c r="K28" s="196"/>
      <c r="L28" s="196"/>
      <c r="M28" s="194"/>
      <c r="N28" s="189"/>
      <c r="O28" s="194"/>
      <c r="P28" s="123"/>
      <c r="Q28" s="177"/>
      <c r="R28" s="177"/>
      <c r="S28" s="177"/>
      <c r="T28" s="197"/>
      <c r="U28" s="197"/>
      <c r="V28" s="195"/>
      <c r="W28" s="417"/>
      <c r="X28" s="417"/>
      <c r="Y28" s="417"/>
      <c r="Z28" s="417"/>
      <c r="AA28" s="378"/>
      <c r="AB28" s="195"/>
      <c r="AC28" s="81"/>
      <c r="AD28" s="414"/>
      <c r="AE28" s="415"/>
      <c r="AF28" s="415"/>
      <c r="AG28" s="415"/>
      <c r="AH28" s="194"/>
      <c r="AI28" s="416"/>
      <c r="AJ28" s="194"/>
      <c r="AN28" s="301"/>
    </row>
    <row r="29" spans="1:221">
      <c r="A29" s="124" t="s">
        <v>19</v>
      </c>
      <c r="B29" s="415"/>
      <c r="C29" s="415"/>
      <c r="D29" s="415"/>
      <c r="E29" s="415"/>
      <c r="F29" s="196"/>
      <c r="G29" s="416"/>
      <c r="H29" s="189"/>
      <c r="I29" s="196"/>
      <c r="J29" s="196"/>
      <c r="K29" s="196"/>
      <c r="L29" s="196"/>
      <c r="M29" s="194"/>
      <c r="N29" s="189"/>
      <c r="O29" s="194"/>
      <c r="P29" s="123"/>
      <c r="Q29" s="177"/>
      <c r="R29" s="177"/>
      <c r="S29" s="177"/>
      <c r="T29" s="197"/>
      <c r="U29" s="197"/>
      <c r="V29" s="195"/>
      <c r="W29" s="177"/>
      <c r="X29" s="177"/>
      <c r="Y29" s="177"/>
      <c r="Z29" s="177"/>
      <c r="AA29" s="177"/>
      <c r="AB29" s="195"/>
      <c r="AC29" s="177"/>
      <c r="AD29" s="414"/>
      <c r="AE29" s="415"/>
      <c r="AF29" s="415"/>
      <c r="AG29" s="415"/>
      <c r="AH29" s="194"/>
      <c r="AI29" s="416"/>
      <c r="AJ29" s="194"/>
      <c r="AN29" s="301"/>
    </row>
    <row r="30" spans="1:221">
      <c r="A30" s="124" t="s">
        <v>20</v>
      </c>
      <c r="B30" s="415"/>
      <c r="C30" s="415"/>
      <c r="D30" s="415"/>
      <c r="E30" s="415"/>
      <c r="F30" s="196"/>
      <c r="G30" s="416"/>
      <c r="H30" s="189"/>
      <c r="I30" s="415"/>
      <c r="J30" s="196"/>
      <c r="K30" s="196"/>
      <c r="L30" s="196"/>
      <c r="M30" s="194"/>
      <c r="N30" s="189"/>
      <c r="O30" s="194"/>
      <c r="P30" s="123"/>
      <c r="Q30" s="177"/>
      <c r="R30" s="177"/>
      <c r="S30" s="177"/>
      <c r="T30" s="197"/>
      <c r="U30" s="197"/>
      <c r="V30" s="195"/>
      <c r="W30" s="177"/>
      <c r="X30" s="177"/>
      <c r="Y30" s="177"/>
      <c r="Z30" s="177"/>
      <c r="AA30" s="177"/>
      <c r="AB30" s="195"/>
      <c r="AC30" s="177"/>
      <c r="AD30" s="414"/>
      <c r="AE30" s="415"/>
      <c r="AF30" s="415"/>
      <c r="AG30" s="415"/>
      <c r="AH30" s="194"/>
      <c r="AI30" s="416"/>
      <c r="AJ30" s="194"/>
      <c r="AN30" s="301"/>
    </row>
    <row r="31" spans="1:221">
      <c r="A31" s="124" t="s">
        <v>21</v>
      </c>
      <c r="B31" s="415"/>
      <c r="C31" s="415"/>
      <c r="D31" s="415"/>
      <c r="E31" s="415"/>
      <c r="F31" s="196"/>
      <c r="G31" s="416"/>
      <c r="H31" s="189"/>
      <c r="I31" s="196"/>
      <c r="J31" s="196"/>
      <c r="K31" s="196"/>
      <c r="L31" s="196"/>
      <c r="M31" s="194"/>
      <c r="N31" s="189"/>
      <c r="O31" s="194"/>
      <c r="P31" s="123"/>
      <c r="Q31" s="177"/>
      <c r="R31" s="177"/>
      <c r="S31" s="177"/>
      <c r="T31" s="197"/>
      <c r="U31" s="197"/>
      <c r="V31" s="195"/>
      <c r="W31" s="177"/>
      <c r="X31" s="177"/>
      <c r="Y31" s="177"/>
      <c r="Z31" s="177"/>
      <c r="AA31" s="177"/>
      <c r="AB31" s="195"/>
      <c r="AC31" s="177"/>
      <c r="AD31" s="414"/>
      <c r="AE31" s="415"/>
      <c r="AF31" s="415"/>
      <c r="AG31" s="415"/>
      <c r="AH31" s="194"/>
      <c r="AI31" s="416"/>
      <c r="AJ31" s="194"/>
      <c r="AN31" s="301"/>
    </row>
    <row r="32" spans="1:221">
      <c r="A32" s="124" t="s">
        <v>22</v>
      </c>
      <c r="B32" s="415"/>
      <c r="C32" s="415"/>
      <c r="D32" s="415"/>
      <c r="E32" s="415"/>
      <c r="F32" s="196"/>
      <c r="G32" s="416"/>
      <c r="H32" s="189"/>
      <c r="I32" s="196"/>
      <c r="J32" s="196"/>
      <c r="K32" s="196"/>
      <c r="L32" s="196"/>
      <c r="M32" s="194"/>
      <c r="N32" s="189"/>
      <c r="O32" s="194"/>
      <c r="P32" s="123"/>
      <c r="Q32" s="177"/>
      <c r="R32" s="177"/>
      <c r="S32" s="177"/>
      <c r="T32" s="197"/>
      <c r="U32" s="197"/>
      <c r="V32" s="195"/>
      <c r="W32" s="177"/>
      <c r="X32" s="177"/>
      <c r="Y32" s="177"/>
      <c r="Z32" s="177"/>
      <c r="AA32" s="177"/>
      <c r="AB32" s="195"/>
      <c r="AC32" s="177"/>
      <c r="AD32" s="414"/>
      <c r="AE32" s="415"/>
      <c r="AF32" s="415"/>
      <c r="AG32" s="415"/>
      <c r="AH32" s="194"/>
      <c r="AI32" s="416"/>
      <c r="AJ32" s="194"/>
      <c r="AN32" s="301"/>
    </row>
    <row r="33" spans="1:40">
      <c r="A33" s="124" t="s">
        <v>23</v>
      </c>
      <c r="B33" s="415"/>
      <c r="C33" s="415"/>
      <c r="D33" s="415"/>
      <c r="E33" s="415"/>
      <c r="F33" s="196"/>
      <c r="G33" s="416"/>
      <c r="H33" s="189"/>
      <c r="I33" s="196"/>
      <c r="J33" s="196"/>
      <c r="K33" s="196"/>
      <c r="L33" s="196"/>
      <c r="M33" s="194"/>
      <c r="N33" s="189"/>
      <c r="O33" s="194"/>
      <c r="P33" s="123"/>
      <c r="Q33" s="177"/>
      <c r="R33" s="177"/>
      <c r="S33" s="177"/>
      <c r="T33" s="197"/>
      <c r="U33" s="197"/>
      <c r="V33" s="195"/>
      <c r="W33" s="177"/>
      <c r="X33" s="177"/>
      <c r="Y33" s="177"/>
      <c r="Z33" s="177"/>
      <c r="AA33" s="177"/>
      <c r="AB33" s="195"/>
      <c r="AC33" s="177"/>
      <c r="AD33" s="414"/>
      <c r="AE33" s="415"/>
      <c r="AF33" s="415"/>
      <c r="AG33" s="415"/>
      <c r="AH33" s="194"/>
      <c r="AI33" s="416"/>
      <c r="AJ33" s="194"/>
      <c r="AN33" s="301"/>
    </row>
    <row r="34" spans="1:40">
      <c r="A34" s="124" t="s">
        <v>24</v>
      </c>
      <c r="B34" s="415"/>
      <c r="C34" s="415"/>
      <c r="D34" s="415"/>
      <c r="E34" s="415"/>
      <c r="F34" s="196"/>
      <c r="G34" s="416"/>
      <c r="H34" s="189"/>
      <c r="I34" s="196"/>
      <c r="J34" s="196"/>
      <c r="K34" s="196"/>
      <c r="L34" s="196"/>
      <c r="M34" s="194"/>
      <c r="N34" s="189"/>
      <c r="O34" s="194"/>
      <c r="P34" s="123"/>
      <c r="Q34" s="177"/>
      <c r="R34" s="177"/>
      <c r="S34" s="177"/>
      <c r="T34" s="197"/>
      <c r="U34" s="197"/>
      <c r="V34" s="195"/>
      <c r="W34" s="177"/>
      <c r="X34" s="177"/>
      <c r="Y34" s="177"/>
      <c r="Z34" s="177"/>
      <c r="AA34" s="177"/>
      <c r="AB34" s="195"/>
      <c r="AC34" s="177"/>
      <c r="AD34" s="414"/>
      <c r="AE34" s="415"/>
      <c r="AF34" s="415"/>
      <c r="AG34" s="415"/>
      <c r="AH34" s="194"/>
      <c r="AI34" s="416"/>
      <c r="AJ34" s="194"/>
      <c r="AN34" s="301"/>
    </row>
    <row r="35" spans="1:40">
      <c r="A35" s="124" t="s">
        <v>25</v>
      </c>
      <c r="B35" s="415"/>
      <c r="C35" s="415"/>
      <c r="D35" s="415"/>
      <c r="E35" s="415"/>
      <c r="F35" s="196"/>
      <c r="G35" s="416"/>
      <c r="H35" s="189"/>
      <c r="I35" s="196"/>
      <c r="J35" s="196"/>
      <c r="K35" s="196"/>
      <c r="L35" s="196"/>
      <c r="M35" s="194"/>
      <c r="N35" s="189"/>
      <c r="O35" s="194"/>
      <c r="P35" s="123"/>
      <c r="Q35" s="177"/>
      <c r="R35" s="177"/>
      <c r="S35" s="177"/>
      <c r="T35" s="197"/>
      <c r="U35" s="197"/>
      <c r="V35" s="195"/>
      <c r="W35" s="177"/>
      <c r="X35" s="177"/>
      <c r="Y35" s="177"/>
      <c r="Z35" s="177"/>
      <c r="AA35" s="177"/>
      <c r="AB35" s="195"/>
      <c r="AC35" s="177"/>
      <c r="AD35" s="414"/>
      <c r="AE35" s="415"/>
      <c r="AF35" s="415"/>
      <c r="AG35" s="415"/>
      <c r="AH35" s="194"/>
      <c r="AI35" s="416"/>
      <c r="AJ35" s="194"/>
      <c r="AN35" s="301"/>
    </row>
    <row r="36" spans="1:40">
      <c r="A36" s="124" t="s">
        <v>111</v>
      </c>
      <c r="B36" s="415"/>
      <c r="C36" s="415"/>
      <c r="D36" s="415"/>
      <c r="E36" s="415"/>
      <c r="F36" s="196"/>
      <c r="G36" s="416"/>
      <c r="H36" s="189"/>
      <c r="I36" s="196"/>
      <c r="J36" s="196"/>
      <c r="K36" s="196"/>
      <c r="L36" s="196"/>
      <c r="M36" s="194"/>
      <c r="N36" s="189"/>
      <c r="O36" s="194"/>
      <c r="P36" s="123"/>
      <c r="Q36" s="177"/>
      <c r="R36" s="177"/>
      <c r="S36" s="177"/>
      <c r="T36" s="197"/>
      <c r="U36" s="197"/>
      <c r="V36" s="195"/>
      <c r="W36" s="177"/>
      <c r="X36" s="177"/>
      <c r="Y36" s="177"/>
      <c r="Z36" s="177"/>
      <c r="AA36" s="177"/>
      <c r="AB36" s="195"/>
      <c r="AC36" s="177"/>
      <c r="AD36" s="414"/>
      <c r="AE36" s="415"/>
      <c r="AF36" s="415"/>
      <c r="AG36" s="415"/>
      <c r="AH36" s="194"/>
      <c r="AI36" s="416"/>
      <c r="AJ36" s="194"/>
      <c r="AN36" s="301"/>
    </row>
    <row r="37" spans="1:40">
      <c r="A37" s="124" t="s">
        <v>112</v>
      </c>
      <c r="B37" s="196"/>
      <c r="C37" s="196"/>
      <c r="D37" s="196"/>
      <c r="E37" s="196"/>
      <c r="F37" s="196"/>
      <c r="G37" s="189"/>
      <c r="H37" s="189"/>
      <c r="I37" s="196"/>
      <c r="J37" s="196"/>
      <c r="K37" s="196"/>
      <c r="L37" s="196"/>
      <c r="M37" s="194"/>
      <c r="N37" s="189"/>
      <c r="O37" s="194"/>
      <c r="P37" s="123"/>
      <c r="Q37" s="177"/>
      <c r="R37" s="177"/>
      <c r="S37" s="177"/>
      <c r="T37" s="197"/>
      <c r="U37" s="197"/>
      <c r="V37" s="195"/>
      <c r="W37" s="177"/>
      <c r="X37" s="177"/>
      <c r="Y37" s="177"/>
      <c r="Z37" s="177"/>
      <c r="AA37" s="177"/>
      <c r="AB37" s="195"/>
      <c r="AC37" s="177"/>
      <c r="AD37" s="414"/>
      <c r="AE37" s="415"/>
      <c r="AF37" s="415"/>
      <c r="AG37" s="415"/>
      <c r="AH37" s="194"/>
      <c r="AI37" s="416"/>
      <c r="AJ37" s="194"/>
      <c r="AN37" s="301"/>
    </row>
    <row r="38" spans="1:40">
      <c r="A38" s="124" t="s">
        <v>26</v>
      </c>
      <c r="B38" s="196"/>
      <c r="C38" s="196"/>
      <c r="D38" s="196"/>
      <c r="E38" s="196"/>
      <c r="F38" s="196"/>
      <c r="G38" s="189"/>
      <c r="H38" s="189"/>
      <c r="I38" s="196"/>
      <c r="J38" s="196"/>
      <c r="K38" s="196"/>
      <c r="L38" s="196"/>
      <c r="M38" s="194"/>
      <c r="N38" s="189"/>
      <c r="O38" s="194"/>
      <c r="P38" s="123"/>
      <c r="Q38" s="177"/>
      <c r="R38" s="177"/>
      <c r="S38" s="177"/>
      <c r="T38" s="197"/>
      <c r="U38" s="197"/>
      <c r="V38" s="195"/>
      <c r="W38" s="177"/>
      <c r="X38" s="177"/>
      <c r="Y38" s="177"/>
      <c r="Z38" s="177"/>
      <c r="AA38" s="177"/>
      <c r="AB38" s="195"/>
      <c r="AC38" s="177"/>
      <c r="AD38" s="414"/>
      <c r="AE38" s="415"/>
      <c r="AF38" s="415"/>
      <c r="AG38" s="415"/>
      <c r="AH38" s="194"/>
      <c r="AI38" s="416"/>
      <c r="AJ38" s="194"/>
      <c r="AN38" s="301"/>
    </row>
    <row r="39" spans="1:40">
      <c r="A39" s="124" t="s">
        <v>27</v>
      </c>
      <c r="B39" s="196"/>
      <c r="C39" s="196"/>
      <c r="D39" s="196"/>
      <c r="E39" s="196"/>
      <c r="F39" s="196"/>
      <c r="G39" s="189"/>
      <c r="H39" s="189"/>
      <c r="I39" s="196"/>
      <c r="J39" s="196"/>
      <c r="K39" s="196"/>
      <c r="L39" s="196"/>
      <c r="M39" s="194"/>
      <c r="N39" s="189"/>
      <c r="O39" s="194"/>
      <c r="P39" s="123"/>
      <c r="Q39" s="177"/>
      <c r="R39" s="177"/>
      <c r="S39" s="177"/>
      <c r="T39" s="197"/>
      <c r="U39" s="197"/>
      <c r="V39" s="195"/>
      <c r="W39" s="177"/>
      <c r="X39" s="177"/>
      <c r="Y39" s="177"/>
      <c r="Z39" s="177"/>
      <c r="AA39" s="177"/>
      <c r="AB39" s="195"/>
      <c r="AC39" s="177"/>
      <c r="AD39" s="414"/>
      <c r="AE39" s="415"/>
      <c r="AF39" s="415"/>
      <c r="AG39" s="415"/>
      <c r="AH39" s="194"/>
      <c r="AI39" s="416"/>
      <c r="AJ39" s="194"/>
      <c r="AN39" s="301"/>
    </row>
    <row r="40" spans="1:40" ht="13.5" thickBot="1">
      <c r="A40" s="245"/>
      <c r="B40" s="196"/>
      <c r="C40" s="196"/>
      <c r="D40" s="196"/>
      <c r="E40" s="196"/>
      <c r="F40" s="196"/>
      <c r="G40" s="230"/>
      <c r="H40" s="230"/>
      <c r="I40" s="220"/>
      <c r="J40" s="220"/>
      <c r="K40" s="220"/>
      <c r="L40" s="220"/>
      <c r="M40" s="221"/>
      <c r="N40" s="230"/>
      <c r="O40" s="221"/>
      <c r="P40" s="123"/>
      <c r="Q40" s="177"/>
      <c r="R40" s="177"/>
      <c r="S40" s="177"/>
      <c r="T40" s="197"/>
      <c r="U40" s="197"/>
      <c r="V40" s="195"/>
      <c r="W40" s="177"/>
      <c r="X40" s="177"/>
      <c r="Y40" s="177"/>
      <c r="Z40" s="177"/>
      <c r="AA40" s="177"/>
      <c r="AB40" s="195"/>
      <c r="AC40" s="177"/>
      <c r="AD40" s="198"/>
      <c r="AE40" s="199"/>
      <c r="AF40" s="199"/>
      <c r="AG40" s="199"/>
      <c r="AH40" s="200"/>
      <c r="AI40" s="263"/>
      <c r="AJ40" s="200"/>
      <c r="AN40" s="301"/>
    </row>
    <row r="41" spans="1:40" ht="13.5" thickBot="1">
      <c r="A41" s="217" t="s">
        <v>2</v>
      </c>
      <c r="B41" s="190">
        <f t="shared" ref="B41:H41" si="8">SUM(B8:B40)</f>
        <v>283</v>
      </c>
      <c r="C41" s="191">
        <f t="shared" si="8"/>
        <v>25</v>
      </c>
      <c r="D41" s="191">
        <f t="shared" si="8"/>
        <v>307</v>
      </c>
      <c r="E41" s="191">
        <f t="shared" si="8"/>
        <v>27</v>
      </c>
      <c r="F41" s="191">
        <f t="shared" si="8"/>
        <v>642</v>
      </c>
      <c r="G41" s="193"/>
      <c r="H41" s="192">
        <f t="shared" si="8"/>
        <v>642</v>
      </c>
      <c r="I41" s="190"/>
      <c r="J41" s="191"/>
      <c r="K41" s="191"/>
      <c r="L41" s="191"/>
      <c r="M41" s="191"/>
      <c r="N41" s="193"/>
      <c r="O41" s="192"/>
      <c r="P41" s="190">
        <f t="shared" ref="P41:V41" si="9">SUM(P8:P40)</f>
        <v>1</v>
      </c>
      <c r="Q41" s="191"/>
      <c r="R41" s="191">
        <f t="shared" si="9"/>
        <v>1</v>
      </c>
      <c r="S41" s="191"/>
      <c r="T41" s="191">
        <f t="shared" si="9"/>
        <v>2</v>
      </c>
      <c r="U41" s="193"/>
      <c r="V41" s="193">
        <f t="shared" si="9"/>
        <v>2</v>
      </c>
      <c r="W41" s="190">
        <f t="shared" ref="W41:AC41" si="10">SUM(W8:W40)</f>
        <v>0</v>
      </c>
      <c r="X41" s="191">
        <f t="shared" si="10"/>
        <v>0</v>
      </c>
      <c r="Y41" s="191">
        <f t="shared" si="10"/>
        <v>0</v>
      </c>
      <c r="Z41" s="191">
        <f t="shared" si="10"/>
        <v>0</v>
      </c>
      <c r="AA41" s="191">
        <f t="shared" si="10"/>
        <v>0</v>
      </c>
      <c r="AB41" s="193">
        <f t="shared" si="10"/>
        <v>0</v>
      </c>
      <c r="AC41" s="193">
        <f t="shared" si="10"/>
        <v>0</v>
      </c>
      <c r="AD41" s="190">
        <f t="shared" ref="AD41:AJ41" si="11">SUM(AD8:AD40)</f>
        <v>284</v>
      </c>
      <c r="AE41" s="191">
        <f t="shared" si="11"/>
        <v>25</v>
      </c>
      <c r="AF41" s="191">
        <f t="shared" si="11"/>
        <v>308</v>
      </c>
      <c r="AG41" s="191">
        <f t="shared" si="11"/>
        <v>27</v>
      </c>
      <c r="AH41" s="191">
        <f t="shared" si="11"/>
        <v>644</v>
      </c>
      <c r="AI41" s="193"/>
      <c r="AJ41" s="192">
        <f t="shared" si="11"/>
        <v>644</v>
      </c>
      <c r="AK41" s="178"/>
      <c r="AL41" s="301"/>
      <c r="AM41" s="301"/>
      <c r="AN41" s="301"/>
    </row>
    <row r="42" spans="1:40">
      <c r="A42" s="226" t="s">
        <v>92</v>
      </c>
      <c r="B42" s="259">
        <f t="shared" ref="B42:AJ42" si="12">B8+B9</f>
        <v>87</v>
      </c>
      <c r="C42" s="249">
        <f t="shared" si="12"/>
        <v>3</v>
      </c>
      <c r="D42" s="249">
        <f t="shared" si="12"/>
        <v>53</v>
      </c>
      <c r="E42" s="249">
        <f t="shared" si="12"/>
        <v>11</v>
      </c>
      <c r="F42" s="252">
        <f t="shared" si="12"/>
        <v>154</v>
      </c>
      <c r="G42" s="251"/>
      <c r="H42" s="251">
        <f t="shared" si="12"/>
        <v>154</v>
      </c>
      <c r="I42" s="259"/>
      <c r="J42" s="249"/>
      <c r="K42" s="249"/>
      <c r="L42" s="249"/>
      <c r="M42" s="252"/>
      <c r="N42" s="251"/>
      <c r="O42" s="251"/>
      <c r="P42" s="259">
        <f t="shared" si="12"/>
        <v>0</v>
      </c>
      <c r="Q42" s="249"/>
      <c r="R42" s="249">
        <f t="shared" si="12"/>
        <v>0</v>
      </c>
      <c r="S42" s="249"/>
      <c r="T42" s="252">
        <f t="shared" si="12"/>
        <v>0</v>
      </c>
      <c r="U42" s="251"/>
      <c r="V42" s="251">
        <f t="shared" si="12"/>
        <v>0</v>
      </c>
      <c r="W42" s="259">
        <f t="shared" si="12"/>
        <v>0</v>
      </c>
      <c r="X42" s="249">
        <f t="shared" si="12"/>
        <v>0</v>
      </c>
      <c r="Y42" s="249">
        <f t="shared" si="12"/>
        <v>0</v>
      </c>
      <c r="Z42" s="249">
        <f t="shared" si="12"/>
        <v>0</v>
      </c>
      <c r="AA42" s="252">
        <f t="shared" si="12"/>
        <v>0</v>
      </c>
      <c r="AB42" s="251">
        <f t="shared" si="12"/>
        <v>0</v>
      </c>
      <c r="AC42" s="251">
        <f t="shared" si="12"/>
        <v>0</v>
      </c>
      <c r="AD42" s="259">
        <f t="shared" si="12"/>
        <v>87</v>
      </c>
      <c r="AE42" s="249">
        <f t="shared" si="12"/>
        <v>3</v>
      </c>
      <c r="AF42" s="249">
        <f t="shared" si="12"/>
        <v>53</v>
      </c>
      <c r="AG42" s="249">
        <f t="shared" si="12"/>
        <v>11</v>
      </c>
      <c r="AH42" s="252">
        <f t="shared" si="12"/>
        <v>154</v>
      </c>
      <c r="AI42" s="251"/>
      <c r="AJ42" s="251">
        <f t="shared" si="12"/>
        <v>154</v>
      </c>
      <c r="AL42" s="301"/>
      <c r="AM42" s="301"/>
      <c r="AN42" s="301"/>
    </row>
    <row r="43" spans="1:40">
      <c r="A43" s="124" t="s">
        <v>114</v>
      </c>
      <c r="B43" s="259">
        <f t="shared" ref="B43:H43" si="13">SUM(B10:B12)</f>
        <v>134</v>
      </c>
      <c r="C43" s="249">
        <f t="shared" si="13"/>
        <v>14</v>
      </c>
      <c r="D43" s="249">
        <f t="shared" si="13"/>
        <v>197</v>
      </c>
      <c r="E43" s="249">
        <f t="shared" si="13"/>
        <v>7</v>
      </c>
      <c r="F43" s="252">
        <f t="shared" si="13"/>
        <v>352</v>
      </c>
      <c r="G43" s="252"/>
      <c r="H43" s="252">
        <f t="shared" si="13"/>
        <v>352</v>
      </c>
      <c r="I43" s="259"/>
      <c r="J43" s="249"/>
      <c r="K43" s="249"/>
      <c r="L43" s="249"/>
      <c r="M43" s="252"/>
      <c r="N43" s="252"/>
      <c r="O43" s="252"/>
      <c r="P43" s="259">
        <f t="shared" ref="P43:AJ43" si="14">SUM(P10:P12)</f>
        <v>0</v>
      </c>
      <c r="Q43" s="249"/>
      <c r="R43" s="249">
        <f t="shared" si="14"/>
        <v>0</v>
      </c>
      <c r="S43" s="249"/>
      <c r="T43" s="252">
        <f t="shared" si="14"/>
        <v>0</v>
      </c>
      <c r="U43" s="252"/>
      <c r="V43" s="255">
        <f t="shared" si="14"/>
        <v>0</v>
      </c>
      <c r="W43" s="259">
        <f t="shared" si="14"/>
        <v>0</v>
      </c>
      <c r="X43" s="249">
        <f t="shared" si="14"/>
        <v>0</v>
      </c>
      <c r="Y43" s="249">
        <f t="shared" si="14"/>
        <v>0</v>
      </c>
      <c r="Z43" s="249">
        <f t="shared" si="14"/>
        <v>0</v>
      </c>
      <c r="AA43" s="252">
        <f t="shared" si="14"/>
        <v>0</v>
      </c>
      <c r="AB43" s="252">
        <f t="shared" si="14"/>
        <v>0</v>
      </c>
      <c r="AC43" s="255">
        <f t="shared" si="14"/>
        <v>0</v>
      </c>
      <c r="AD43" s="259">
        <f t="shared" si="14"/>
        <v>134</v>
      </c>
      <c r="AE43" s="249">
        <f t="shared" si="14"/>
        <v>14</v>
      </c>
      <c r="AF43" s="249">
        <f t="shared" si="14"/>
        <v>197</v>
      </c>
      <c r="AG43" s="249">
        <f t="shared" si="14"/>
        <v>7</v>
      </c>
      <c r="AH43" s="252">
        <f t="shared" si="14"/>
        <v>352</v>
      </c>
      <c r="AI43" s="252"/>
      <c r="AJ43" s="252">
        <f t="shared" si="14"/>
        <v>352</v>
      </c>
      <c r="AL43" s="301"/>
      <c r="AM43" s="301"/>
      <c r="AN43" s="301"/>
    </row>
    <row r="44" spans="1:40">
      <c r="A44" s="124" t="s">
        <v>115</v>
      </c>
      <c r="B44" s="259">
        <f t="shared" ref="B44:H44" si="15">SUM(B13:B14)</f>
        <v>56</v>
      </c>
      <c r="C44" s="249">
        <f t="shared" si="15"/>
        <v>8</v>
      </c>
      <c r="D44" s="249">
        <f t="shared" si="15"/>
        <v>48</v>
      </c>
      <c r="E44" s="249">
        <f t="shared" si="15"/>
        <v>5</v>
      </c>
      <c r="F44" s="252">
        <f t="shared" si="15"/>
        <v>117</v>
      </c>
      <c r="G44" s="252"/>
      <c r="H44" s="252">
        <f t="shared" si="15"/>
        <v>117</v>
      </c>
      <c r="I44" s="259"/>
      <c r="J44" s="249"/>
      <c r="K44" s="249"/>
      <c r="L44" s="249"/>
      <c r="M44" s="252"/>
      <c r="N44" s="252"/>
      <c r="O44" s="252"/>
      <c r="P44" s="259">
        <f t="shared" ref="P44:V44" si="16">SUM(P13:P14)</f>
        <v>1</v>
      </c>
      <c r="Q44" s="249"/>
      <c r="R44" s="249">
        <f t="shared" si="16"/>
        <v>1</v>
      </c>
      <c r="S44" s="249"/>
      <c r="T44" s="252">
        <f t="shared" si="16"/>
        <v>2</v>
      </c>
      <c r="U44" s="252"/>
      <c r="V44" s="255">
        <f t="shared" si="16"/>
        <v>2</v>
      </c>
      <c r="W44" s="259">
        <f>SUM(W13:W14)</f>
        <v>0</v>
      </c>
      <c r="X44" s="249">
        <f>SUM(X13:X14)</f>
        <v>0</v>
      </c>
      <c r="Y44" s="249">
        <f>SUM(Y13:Y14)</f>
        <v>0</v>
      </c>
      <c r="Z44" s="249">
        <f>SUM(Z13:Z14)</f>
        <v>0</v>
      </c>
      <c r="AA44" s="252">
        <f>SUM(AA13:AA14)</f>
        <v>0</v>
      </c>
      <c r="AB44" s="252">
        <f t="shared" ref="AB44:AJ44" si="17">SUM(AB13:AB14)</f>
        <v>0</v>
      </c>
      <c r="AC44" s="255">
        <f t="shared" si="17"/>
        <v>0</v>
      </c>
      <c r="AD44" s="259">
        <f t="shared" si="17"/>
        <v>57</v>
      </c>
      <c r="AE44" s="249">
        <f t="shared" si="17"/>
        <v>8</v>
      </c>
      <c r="AF44" s="249">
        <f t="shared" si="17"/>
        <v>49</v>
      </c>
      <c r="AG44" s="249">
        <f t="shared" si="17"/>
        <v>5</v>
      </c>
      <c r="AH44" s="252">
        <f t="shared" si="17"/>
        <v>119</v>
      </c>
      <c r="AI44" s="252"/>
      <c r="AJ44" s="252">
        <f t="shared" si="17"/>
        <v>119</v>
      </c>
      <c r="AL44" s="301"/>
      <c r="AM44" s="301"/>
      <c r="AN44" s="301"/>
    </row>
    <row r="45" spans="1:40" ht="13.5" thickBot="1">
      <c r="A45" s="179" t="s">
        <v>116</v>
      </c>
      <c r="B45" s="260">
        <f t="shared" ref="B45:H45" si="18">SUM(B15:B39)</f>
        <v>6</v>
      </c>
      <c r="C45" s="250">
        <f t="shared" si="18"/>
        <v>0</v>
      </c>
      <c r="D45" s="250">
        <f t="shared" si="18"/>
        <v>9</v>
      </c>
      <c r="E45" s="250">
        <f t="shared" si="18"/>
        <v>4</v>
      </c>
      <c r="F45" s="253">
        <f t="shared" si="18"/>
        <v>19</v>
      </c>
      <c r="G45" s="253"/>
      <c r="H45" s="253">
        <f t="shared" si="18"/>
        <v>19</v>
      </c>
      <c r="I45" s="260"/>
      <c r="J45" s="250"/>
      <c r="K45" s="250"/>
      <c r="L45" s="250"/>
      <c r="M45" s="253"/>
      <c r="N45" s="253"/>
      <c r="O45" s="253"/>
      <c r="P45" s="260">
        <f t="shared" ref="P45:V45" si="19">SUM(P15:P39)</f>
        <v>0</v>
      </c>
      <c r="Q45" s="250"/>
      <c r="R45" s="250">
        <f t="shared" si="19"/>
        <v>0</v>
      </c>
      <c r="S45" s="250"/>
      <c r="T45" s="253">
        <f t="shared" si="19"/>
        <v>0</v>
      </c>
      <c r="U45" s="253"/>
      <c r="V45" s="256">
        <f t="shared" si="19"/>
        <v>0</v>
      </c>
      <c r="W45" s="260">
        <f>SUM(W15:W39)</f>
        <v>0</v>
      </c>
      <c r="X45" s="250">
        <f>SUM(X15:X39)</f>
        <v>0</v>
      </c>
      <c r="Y45" s="250">
        <f>SUM(Y15:Y39)</f>
        <v>0</v>
      </c>
      <c r="Z45" s="250">
        <f>SUM(Z15:Z39)</f>
        <v>0</v>
      </c>
      <c r="AA45" s="253">
        <f>SUM(AA15:AA39)</f>
        <v>0</v>
      </c>
      <c r="AB45" s="253">
        <f t="shared" ref="AB45:AJ45" si="20">SUM(AB15:AB39)</f>
        <v>0</v>
      </c>
      <c r="AC45" s="256">
        <f t="shared" si="20"/>
        <v>0</v>
      </c>
      <c r="AD45" s="260">
        <f t="shared" si="20"/>
        <v>6</v>
      </c>
      <c r="AE45" s="250">
        <f t="shared" si="20"/>
        <v>0</v>
      </c>
      <c r="AF45" s="250">
        <f t="shared" si="20"/>
        <v>9</v>
      </c>
      <c r="AG45" s="250">
        <f t="shared" si="20"/>
        <v>4</v>
      </c>
      <c r="AH45" s="253">
        <f t="shared" si="20"/>
        <v>19</v>
      </c>
      <c r="AI45" s="253"/>
      <c r="AJ45" s="253">
        <f t="shared" si="20"/>
        <v>19</v>
      </c>
      <c r="AL45" s="301"/>
      <c r="AM45" s="301"/>
      <c r="AN45" s="301"/>
    </row>
    <row r="46" spans="1:40">
      <c r="A46" s="121"/>
      <c r="B46" s="248"/>
      <c r="C46" s="248"/>
      <c r="D46" s="248"/>
      <c r="E46" s="248"/>
      <c r="F46" s="248"/>
      <c r="G46" s="248"/>
      <c r="H46" s="248"/>
      <c r="I46" s="248"/>
      <c r="J46" s="248"/>
      <c r="K46" s="248"/>
      <c r="L46" s="248"/>
      <c r="M46" s="248"/>
      <c r="N46" s="248"/>
      <c r="O46" s="248"/>
      <c r="P46" s="248"/>
      <c r="Q46" s="248"/>
      <c r="R46" s="248"/>
      <c r="S46" s="248"/>
      <c r="T46" s="248"/>
      <c r="U46" s="248"/>
      <c r="V46" s="248"/>
      <c r="W46" s="248"/>
      <c r="X46" s="248"/>
      <c r="Y46" s="248"/>
      <c r="Z46" s="248"/>
      <c r="AA46" s="248"/>
      <c r="AB46" s="248"/>
      <c r="AC46" s="248"/>
      <c r="AD46" s="248"/>
      <c r="AE46" s="248"/>
      <c r="AF46" s="248"/>
      <c r="AG46" s="248"/>
      <c r="AH46" s="248"/>
      <c r="AI46" s="248"/>
      <c r="AJ46" s="251"/>
    </row>
    <row r="47" spans="1:40">
      <c r="A47" s="29" t="s">
        <v>307</v>
      </c>
      <c r="B47" s="249"/>
      <c r="C47" s="249"/>
      <c r="D47" s="249"/>
      <c r="E47" s="249"/>
      <c r="F47" s="249"/>
      <c r="G47" s="249"/>
      <c r="H47" s="249"/>
      <c r="I47" s="249"/>
      <c r="J47" s="249"/>
      <c r="K47" s="249"/>
      <c r="L47" s="249"/>
      <c r="M47" s="249"/>
      <c r="N47" s="249"/>
      <c r="O47" s="249"/>
      <c r="P47" s="249"/>
      <c r="Q47" s="249"/>
      <c r="R47" s="249"/>
      <c r="S47" s="249"/>
      <c r="T47" s="249"/>
      <c r="U47" s="249"/>
      <c r="V47" s="249"/>
      <c r="W47" s="249"/>
      <c r="X47" s="249"/>
      <c r="Y47" s="249"/>
      <c r="Z47" s="249"/>
      <c r="AA47" s="249"/>
      <c r="AB47" s="249"/>
      <c r="AC47" s="249"/>
      <c r="AD47" s="249"/>
      <c r="AE47" s="249"/>
      <c r="AF47" s="249"/>
      <c r="AG47" s="249"/>
      <c r="AH47" s="249"/>
      <c r="AI47" s="249"/>
      <c r="AJ47" s="252"/>
    </row>
    <row r="48" spans="1:40">
      <c r="A48" s="29"/>
      <c r="B48" s="421" t="s">
        <v>399</v>
      </c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249"/>
      <c r="N48" s="249"/>
      <c r="O48" s="249"/>
      <c r="P48" s="249"/>
      <c r="Q48" s="249"/>
      <c r="R48" s="249"/>
      <c r="S48" s="249"/>
      <c r="T48" s="249"/>
      <c r="U48" s="249"/>
      <c r="V48" s="249"/>
      <c r="W48" s="249"/>
      <c r="X48" s="249"/>
      <c r="Y48" s="249"/>
      <c r="Z48" s="249"/>
      <c r="AA48" s="249"/>
      <c r="AB48" s="249"/>
      <c r="AC48" s="249"/>
      <c r="AD48" s="249"/>
      <c r="AE48" s="249"/>
      <c r="AF48" s="249"/>
      <c r="AG48" s="249"/>
      <c r="AH48" s="249"/>
      <c r="AI48" s="249"/>
      <c r="AJ48" s="252"/>
    </row>
    <row r="49" spans="1:36" ht="13.5" thickBot="1">
      <c r="A49" s="72"/>
      <c r="B49" s="438" t="s">
        <v>306</v>
      </c>
      <c r="C49" s="250"/>
      <c r="D49" s="250"/>
      <c r="E49" s="250"/>
      <c r="F49" s="250"/>
      <c r="G49" s="250"/>
      <c r="H49" s="250"/>
      <c r="I49" s="250"/>
      <c r="J49" s="250"/>
      <c r="K49" s="250"/>
      <c r="L49" s="250"/>
      <c r="M49" s="250"/>
      <c r="N49" s="250"/>
      <c r="O49" s="250"/>
      <c r="P49" s="250"/>
      <c r="Q49" s="250"/>
      <c r="R49" s="250"/>
      <c r="S49" s="250"/>
      <c r="T49" s="250"/>
      <c r="U49" s="250"/>
      <c r="V49" s="250"/>
      <c r="W49" s="250"/>
      <c r="X49" s="250"/>
      <c r="Y49" s="250"/>
      <c r="Z49" s="250"/>
      <c r="AA49" s="250"/>
      <c r="AB49" s="250"/>
      <c r="AC49" s="250"/>
      <c r="AD49" s="250"/>
      <c r="AE49" s="250"/>
      <c r="AF49" s="250"/>
      <c r="AG49" s="250"/>
      <c r="AH49" s="250"/>
      <c r="AI49" s="250"/>
      <c r="AJ49" s="253"/>
    </row>
    <row r="50" spans="1:36">
      <c r="B50" s="178"/>
      <c r="C50" s="178"/>
      <c r="D50" s="178"/>
      <c r="E50" s="178"/>
      <c r="F50" s="178"/>
      <c r="G50" s="178"/>
      <c r="H50" s="178"/>
    </row>
    <row r="51" spans="1:36">
      <c r="A51" s="264" t="s">
        <v>91</v>
      </c>
      <c r="B51" s="18">
        <f t="shared" ref="B51:H51" si="21">SUM(B42:B45)-B41</f>
        <v>0</v>
      </c>
      <c r="C51" s="18">
        <f t="shared" si="21"/>
        <v>0</v>
      </c>
      <c r="D51" s="18">
        <f t="shared" si="21"/>
        <v>0</v>
      </c>
      <c r="E51" s="18">
        <f t="shared" si="21"/>
        <v>0</v>
      </c>
      <c r="F51" s="18">
        <f t="shared" si="21"/>
        <v>0</v>
      </c>
      <c r="G51" s="18">
        <f t="shared" si="21"/>
        <v>0</v>
      </c>
      <c r="H51" s="18">
        <f t="shared" si="21"/>
        <v>0</v>
      </c>
      <c r="I51" s="18">
        <f t="shared" ref="I51:AJ51" si="22">SUM(I42:I45)-I41</f>
        <v>0</v>
      </c>
      <c r="J51" s="18">
        <f t="shared" si="22"/>
        <v>0</v>
      </c>
      <c r="K51" s="18">
        <f t="shared" si="22"/>
        <v>0</v>
      </c>
      <c r="L51" s="18">
        <f t="shared" si="22"/>
        <v>0</v>
      </c>
      <c r="M51" s="18">
        <f t="shared" si="22"/>
        <v>0</v>
      </c>
      <c r="N51" s="18">
        <f t="shared" si="22"/>
        <v>0</v>
      </c>
      <c r="O51" s="18">
        <f t="shared" si="22"/>
        <v>0</v>
      </c>
      <c r="P51" s="18">
        <f t="shared" si="22"/>
        <v>0</v>
      </c>
      <c r="Q51" s="18">
        <f t="shared" si="22"/>
        <v>0</v>
      </c>
      <c r="R51" s="18">
        <f t="shared" si="22"/>
        <v>0</v>
      </c>
      <c r="S51" s="18">
        <f t="shared" si="22"/>
        <v>0</v>
      </c>
      <c r="T51" s="18">
        <f t="shared" si="22"/>
        <v>0</v>
      </c>
      <c r="U51" s="18">
        <f t="shared" si="22"/>
        <v>0</v>
      </c>
      <c r="V51" s="18">
        <f t="shared" si="22"/>
        <v>0</v>
      </c>
      <c r="W51" s="18">
        <f t="shared" ref="W51:AC51" si="23">SUM(W42:W45)-W41</f>
        <v>0</v>
      </c>
      <c r="X51" s="18">
        <f t="shared" si="23"/>
        <v>0</v>
      </c>
      <c r="Y51" s="18">
        <f t="shared" si="23"/>
        <v>0</v>
      </c>
      <c r="Z51" s="18">
        <f t="shared" si="23"/>
        <v>0</v>
      </c>
      <c r="AA51" s="18">
        <f t="shared" si="23"/>
        <v>0</v>
      </c>
      <c r="AB51" s="18">
        <f t="shared" si="23"/>
        <v>0</v>
      </c>
      <c r="AC51" s="18">
        <f t="shared" si="23"/>
        <v>0</v>
      </c>
      <c r="AD51" s="18">
        <f t="shared" si="22"/>
        <v>0</v>
      </c>
      <c r="AE51" s="18">
        <f t="shared" si="22"/>
        <v>0</v>
      </c>
      <c r="AF51" s="18">
        <f t="shared" si="22"/>
        <v>0</v>
      </c>
      <c r="AG51" s="18">
        <f t="shared" si="22"/>
        <v>0</v>
      </c>
      <c r="AH51" s="18">
        <f t="shared" si="22"/>
        <v>0</v>
      </c>
      <c r="AI51" s="18">
        <f t="shared" si="22"/>
        <v>0</v>
      </c>
      <c r="AJ51" s="18">
        <f t="shared" si="22"/>
        <v>0</v>
      </c>
    </row>
  </sheetData>
  <mergeCells count="11">
    <mergeCell ref="I3:M3"/>
    <mergeCell ref="P3:T3"/>
    <mergeCell ref="AD3:AH3"/>
    <mergeCell ref="A1:AJ1"/>
    <mergeCell ref="I2:O2"/>
    <mergeCell ref="P2:V2"/>
    <mergeCell ref="AD2:AJ2"/>
    <mergeCell ref="W3:AA3"/>
    <mergeCell ref="W2:AC2"/>
    <mergeCell ref="B2:H2"/>
    <mergeCell ref="B3:F3"/>
  </mergeCells>
  <phoneticPr fontId="0" type="noConversion"/>
  <printOptions horizontalCentered="1"/>
  <pageMargins left="0.75" right="0.75" top="1" bottom="1" header="0.5" footer="0.5"/>
  <pageSetup scale="42" orientation="portrait" r:id="rId1"/>
  <headerFooter alignWithMargins="0">
    <oddFooter>&amp;L&amp;F
&amp;A&amp;R&amp;P of &amp;N</oddFooter>
  </headerFooter>
  <colBreaks count="1" manualBreakCount="1">
    <brk id="15" max="46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74">
    <tabColor rgb="FF00642D"/>
    <pageSetUpPr fitToPage="1"/>
  </sheetPr>
  <dimension ref="A1:P58"/>
  <sheetViews>
    <sheetView topLeftCell="A17" zoomScaleNormal="100" workbookViewId="0">
      <selection activeCell="F8" sqref="F8"/>
    </sheetView>
  </sheetViews>
  <sheetFormatPr defaultRowHeight="12.75"/>
  <cols>
    <col min="1" max="1" width="41.140625" customWidth="1"/>
    <col min="2" max="11" width="11.140625" customWidth="1"/>
    <col min="12" max="15" width="10.28515625" bestFit="1" customWidth="1"/>
    <col min="16" max="16" width="9.140625" bestFit="1" customWidth="1"/>
  </cols>
  <sheetData>
    <row r="1" spans="1:16" ht="18.75" thickBot="1">
      <c r="A1" s="741" t="s">
        <v>199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  <c r="N1" s="741"/>
      <c r="O1" s="741"/>
      <c r="P1" s="741"/>
    </row>
    <row r="2" spans="1:16" ht="13.5" thickBot="1">
      <c r="A2" s="103"/>
      <c r="B2" s="743" t="s">
        <v>0</v>
      </c>
      <c r="C2" s="743"/>
      <c r="D2" s="743"/>
      <c r="E2" s="743"/>
      <c r="F2" s="743"/>
      <c r="G2" s="742" t="s">
        <v>1</v>
      </c>
      <c r="H2" s="743"/>
      <c r="I2" s="743"/>
      <c r="J2" s="743"/>
      <c r="K2" s="744"/>
      <c r="L2" s="742" t="s">
        <v>200</v>
      </c>
      <c r="M2" s="743"/>
      <c r="N2" s="743"/>
      <c r="O2" s="743"/>
      <c r="P2" s="744"/>
    </row>
    <row r="3" spans="1:16" ht="13.5" thickBot="1">
      <c r="A3" s="77" t="s">
        <v>47</v>
      </c>
      <c r="B3" s="455" t="s">
        <v>92</v>
      </c>
      <c r="C3" s="352" t="s">
        <v>114</v>
      </c>
      <c r="D3" s="352" t="s">
        <v>115</v>
      </c>
      <c r="E3" s="352" t="s">
        <v>116</v>
      </c>
      <c r="F3" s="455" t="s">
        <v>135</v>
      </c>
      <c r="G3" s="348" t="s">
        <v>92</v>
      </c>
      <c r="H3" s="349" t="s">
        <v>114</v>
      </c>
      <c r="I3" s="349" t="s">
        <v>115</v>
      </c>
      <c r="J3" s="349" t="s">
        <v>116</v>
      </c>
      <c r="K3" s="350" t="s">
        <v>136</v>
      </c>
      <c r="L3" s="348" t="s">
        <v>92</v>
      </c>
      <c r="M3" s="349" t="s">
        <v>114</v>
      </c>
      <c r="N3" s="349" t="s">
        <v>115</v>
      </c>
      <c r="O3" s="349" t="s">
        <v>116</v>
      </c>
      <c r="P3" s="350" t="s">
        <v>2</v>
      </c>
    </row>
    <row r="4" spans="1:16">
      <c r="A4" s="459"/>
      <c r="B4" s="35"/>
      <c r="C4" s="149"/>
      <c r="D4" s="149"/>
      <c r="E4" s="149"/>
      <c r="F4" s="149"/>
      <c r="G4" s="35"/>
      <c r="H4" s="149"/>
      <c r="I4" s="149"/>
      <c r="J4" s="149"/>
      <c r="K4" s="284"/>
      <c r="L4" s="35"/>
      <c r="M4" s="149"/>
      <c r="N4" s="149"/>
      <c r="O4" s="149"/>
      <c r="P4" s="284"/>
    </row>
    <row r="5" spans="1:16">
      <c r="A5" s="117"/>
      <c r="B5" s="36"/>
      <c r="C5" s="66"/>
      <c r="D5" s="66"/>
      <c r="E5" s="66"/>
      <c r="F5" s="66"/>
      <c r="G5" s="36"/>
      <c r="H5" s="66"/>
      <c r="I5" s="66"/>
      <c r="J5" s="66"/>
      <c r="K5" s="132"/>
      <c r="L5" s="36"/>
      <c r="M5" s="66"/>
      <c r="N5" s="66"/>
      <c r="O5" s="66"/>
      <c r="P5" s="132"/>
    </row>
    <row r="6" spans="1:16">
      <c r="A6" s="117" t="s">
        <v>49</v>
      </c>
      <c r="B6" s="36"/>
      <c r="C6" s="66"/>
      <c r="D6" s="66"/>
      <c r="E6" s="66"/>
      <c r="F6" s="66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>
      <c r="A7" s="381"/>
      <c r="B7" s="37"/>
      <c r="C7" s="546"/>
      <c r="D7" s="67"/>
      <c r="E7" s="67"/>
      <c r="F7" s="67"/>
      <c r="G7" s="37"/>
      <c r="H7" s="67"/>
      <c r="I7" s="67"/>
      <c r="J7" s="67"/>
      <c r="K7" s="133"/>
      <c r="L7" s="37"/>
      <c r="M7" s="67"/>
      <c r="N7" s="67"/>
      <c r="O7" s="67"/>
      <c r="P7" s="133"/>
    </row>
    <row r="8" spans="1:16">
      <c r="A8" s="117" t="s">
        <v>53</v>
      </c>
      <c r="B8" s="111">
        <f>('Sch TOU-A TSM Summary'!B9*'Sm Comm Cust Fcst'!$F$42+'Sch A-TOU TSM Summary'!B9*'Sm Comm Cust Fcst'!$T$42)/'Sm Comm Cust Fcst'!$AH$42</f>
        <v>589.20209093746712</v>
      </c>
      <c r="C8" s="33">
        <f>('Sch TOU-A TSM Summary'!C9*'Sm Comm Cust Fcst'!$F$43+'Sch A-TOU TSM Summary'!C9*'Sm Comm Cust Fcst'!$T$43)/'Sm Comm Cust Fcst'!$AH$43</f>
        <v>2031.6513172812186</v>
      </c>
      <c r="D8" s="33">
        <f>('Sch TOU-A TSM Summary'!D9*'Sm Comm Cust Fcst'!$F$44+'Sch A-TOU TSM Summary'!D9*'Sm Comm Cust Fcst'!$T$44)/'Sm Comm Cust Fcst'!$AH$44</f>
        <v>6907.9171444689382</v>
      </c>
      <c r="E8" s="33">
        <f>('Sch TOU-A TSM Summary'!E9*'Sm Comm Cust Fcst'!$F$45+'Sch A-TOU TSM Summary'!E9*'Sm Comm Cust Fcst'!$T$45)/'Sm Comm Cust Fcst'!$AH$45</f>
        <v>11917.548778360455</v>
      </c>
      <c r="F8" s="33">
        <f>('Sch TOU-A TSM Summary'!F9*'Sm Comm Cust Fcst'!$F$41+'Sch A-TOU TSM Summary'!F9*'Sm Comm Cust Fcst'!$T$41)/'Sm Comm Cust Fcst'!$AH$41</f>
        <v>2879.4316035217566</v>
      </c>
      <c r="G8" s="111"/>
      <c r="H8" s="33"/>
      <c r="I8" s="33"/>
      <c r="J8" s="33"/>
      <c r="K8" s="34"/>
      <c r="L8" s="111">
        <f>('Sch TOU-A TSM Summary'!L9*'Sm Comm Cust Fcst'!$H$42+'Sch A-TOU TSM Summary'!L9*'Sm Comm Cust Fcst'!$V$42)/'Sm Comm Cust Fcst'!$AJ$42</f>
        <v>589.20209093746712</v>
      </c>
      <c r="M8" s="33">
        <f>('Sch TOU-A TSM Summary'!M9*'Sm Comm Cust Fcst'!$H$43+'Sch A-TOU TSM Summary'!M9*'Sm Comm Cust Fcst'!$V$43)/'Sm Comm Cust Fcst'!$AJ$43</f>
        <v>2031.6513172812186</v>
      </c>
      <c r="N8" s="33">
        <f>('Sch TOU-A TSM Summary'!N9*'Sm Comm Cust Fcst'!$H$44+'Sch A-TOU TSM Summary'!N9*'Sm Comm Cust Fcst'!$V$44)/'Sm Comm Cust Fcst'!$AJ$44</f>
        <v>6907.9171444689382</v>
      </c>
      <c r="O8" s="33">
        <f>('Sch TOU-A TSM Summary'!O9*'Sm Comm Cust Fcst'!$H$45+'Sch A-TOU TSM Summary'!O9*'Sm Comm Cust Fcst'!$V$45)/'Sm Comm Cust Fcst'!$AJ$45</f>
        <v>11917.548778360455</v>
      </c>
      <c r="P8" s="34">
        <f>('Sch TOU-A TSM Summary'!P9*'Sm Comm Cust Fcst'!$H$41+'Sch A-TOU TSM Summary'!P9*'Sm Comm Cust Fcst'!$V$41)/'Sm Comm Cust Fcst'!$AJ$41</f>
        <v>2879.4316035217566</v>
      </c>
    </row>
    <row r="9" spans="1:16">
      <c r="A9" s="117" t="s">
        <v>51</v>
      </c>
      <c r="B9" s="111">
        <f>('Sch TOU-A TSM Summary'!B10*'Sm Comm Cust Fcst'!$F$42+'Sch A-TOU TSM Summary'!B10*'Sm Comm Cust Fcst'!$T$42)/'Sm Comm Cust Fcst'!$AH$42</f>
        <v>328.678580465099</v>
      </c>
      <c r="C9" s="33">
        <f>('Sch TOU-A TSM Summary'!C10*'Sm Comm Cust Fcst'!$F$43+'Sch A-TOU TSM Summary'!C10*'Sm Comm Cust Fcst'!$T$43)/'Sm Comm Cust Fcst'!$AH$43</f>
        <v>482.52152479777362</v>
      </c>
      <c r="D9" s="33">
        <f>('Sch TOU-A TSM Summary'!D10*'Sm Comm Cust Fcst'!$F$44+'Sch A-TOU TSM Summary'!D10*'Sm Comm Cust Fcst'!$T$44)/'Sm Comm Cust Fcst'!$AH$44</f>
        <v>595.72310357179015</v>
      </c>
      <c r="E9" s="33">
        <f>('Sch TOU-A TSM Summary'!E10*'Sm Comm Cust Fcst'!$F$45+'Sch A-TOU TSM Summary'!E10*'Sm Comm Cust Fcst'!$T$45)/'Sm Comm Cust Fcst'!$AH$45</f>
        <v>1447.7118620257893</v>
      </c>
      <c r="F9" s="33">
        <f>('Sch TOU-A TSM Summary'!F10*'Sm Comm Cust Fcst'!$F$41+'Sch A-TOU TSM Summary'!F10*'Sm Comm Cust Fcst'!$T$41)/'Sm Comm Cust Fcst'!$AH$41</f>
        <v>495.12679009933936</v>
      </c>
      <c r="G9" s="111"/>
      <c r="H9" s="33"/>
      <c r="I9" s="33"/>
      <c r="J9" s="33"/>
      <c r="K9" s="34"/>
      <c r="L9" s="111">
        <f>('Sch TOU-A TSM Summary'!L10*'Sm Comm Cust Fcst'!$H$42+'Sch A-TOU TSM Summary'!L10*'Sm Comm Cust Fcst'!$V$42)/'Sm Comm Cust Fcst'!$AJ$42</f>
        <v>328.678580465099</v>
      </c>
      <c r="M9" s="33">
        <f>('Sch TOU-A TSM Summary'!M10*'Sm Comm Cust Fcst'!$H$43+'Sch A-TOU TSM Summary'!M10*'Sm Comm Cust Fcst'!$V$43)/'Sm Comm Cust Fcst'!$AJ$43</f>
        <v>482.52152479777362</v>
      </c>
      <c r="N9" s="33">
        <f>('Sch TOU-A TSM Summary'!N10*'Sm Comm Cust Fcst'!$H$44+'Sch A-TOU TSM Summary'!N10*'Sm Comm Cust Fcst'!$V$44)/'Sm Comm Cust Fcst'!$AJ$44</f>
        <v>595.72310357179015</v>
      </c>
      <c r="O9" s="33">
        <f>('Sch TOU-A TSM Summary'!O10*'Sm Comm Cust Fcst'!$H$45+'Sch A-TOU TSM Summary'!O10*'Sm Comm Cust Fcst'!$V$45)/'Sm Comm Cust Fcst'!$AJ$45</f>
        <v>1447.7118620257893</v>
      </c>
      <c r="P9" s="34">
        <f>('Sch TOU-A TSM Summary'!P10*'Sm Comm Cust Fcst'!$H$41+'Sch A-TOU TSM Summary'!P10*'Sm Comm Cust Fcst'!$V$41)/'Sm Comm Cust Fcst'!$AJ$41</f>
        <v>495.12679009933936</v>
      </c>
    </row>
    <row r="10" spans="1:16">
      <c r="A10" s="117" t="s">
        <v>52</v>
      </c>
      <c r="B10" s="111">
        <f>('Sch TOU-A TSM Summary'!B11*'Sm Comm Cust Fcst'!$F$42+'Sch A-TOU TSM Summary'!B11*'Sm Comm Cust Fcst'!$T$42)/'Sm Comm Cust Fcst'!$AH$42</f>
        <v>259.72648882088731</v>
      </c>
      <c r="C10" s="33">
        <f>('Sch TOU-A TSM Summary'!C11*'Sm Comm Cust Fcst'!$F$43+'Sch A-TOU TSM Summary'!C11*'Sm Comm Cust Fcst'!$T$43)/'Sm Comm Cust Fcst'!$AH$43</f>
        <v>271.8887210654641</v>
      </c>
      <c r="D10" s="33">
        <f>('Sch TOU-A TSM Summary'!D11*'Sm Comm Cust Fcst'!$F$44+'Sch A-TOU TSM Summary'!D11*'Sm Comm Cust Fcst'!$T$44)/'Sm Comm Cust Fcst'!$AH$44</f>
        <v>265.39946576834473</v>
      </c>
      <c r="E10" s="33">
        <f>('Sch TOU-A TSM Summary'!E11*'Sm Comm Cust Fcst'!$F$45+'Sch A-TOU TSM Summary'!E11*'Sm Comm Cust Fcst'!$T$45)/'Sm Comm Cust Fcst'!$AH$45</f>
        <v>452.46990401552188</v>
      </c>
      <c r="F10" s="33">
        <f>('Sch TOU-A TSM Summary'!F11*'Sm Comm Cust Fcst'!$F$41+'Sch A-TOU TSM Summary'!F11*'Sm Comm Cust Fcst'!$T$41)/'Sm Comm Cust Fcst'!$AH$41</f>
        <v>273.10896536675148</v>
      </c>
      <c r="G10" s="111"/>
      <c r="H10" s="33"/>
      <c r="I10" s="33"/>
      <c r="J10" s="33"/>
      <c r="K10" s="34"/>
      <c r="L10" s="111">
        <f>('Sch TOU-A TSM Summary'!L11*'Sm Comm Cust Fcst'!$H$42+'Sch A-TOU TSM Summary'!L11*'Sm Comm Cust Fcst'!$V$42)/'Sm Comm Cust Fcst'!$AJ$42</f>
        <v>259.72648882088731</v>
      </c>
      <c r="M10" s="33">
        <f>('Sch TOU-A TSM Summary'!M11*'Sm Comm Cust Fcst'!$H$43+'Sch A-TOU TSM Summary'!M11*'Sm Comm Cust Fcst'!$V$43)/'Sm Comm Cust Fcst'!$AJ$43</f>
        <v>271.8887210654641</v>
      </c>
      <c r="N10" s="33">
        <f>('Sch TOU-A TSM Summary'!N11*'Sm Comm Cust Fcst'!$H$44+'Sch A-TOU TSM Summary'!N11*'Sm Comm Cust Fcst'!$V$44)/'Sm Comm Cust Fcst'!$AJ$44</f>
        <v>265.39946576834473</v>
      </c>
      <c r="O10" s="33">
        <f>('Sch TOU-A TSM Summary'!O11*'Sm Comm Cust Fcst'!$H$45+'Sch A-TOU TSM Summary'!O11*'Sm Comm Cust Fcst'!$V$45)/'Sm Comm Cust Fcst'!$AJ$45</f>
        <v>452.46990401552188</v>
      </c>
      <c r="P10" s="34">
        <f>('Sch TOU-A TSM Summary'!P11*'Sm Comm Cust Fcst'!$H$41+'Sch A-TOU TSM Summary'!P11*'Sm Comm Cust Fcst'!$V$41)/'Sm Comm Cust Fcst'!$AJ$41</f>
        <v>273.10896536675148</v>
      </c>
    </row>
    <row r="11" spans="1:16">
      <c r="A11" s="382"/>
      <c r="B11" s="38"/>
      <c r="C11" s="68"/>
      <c r="D11" s="68"/>
      <c r="E11" s="68"/>
      <c r="F11" s="68"/>
      <c r="G11" s="537"/>
      <c r="H11" s="536"/>
      <c r="I11" s="536"/>
      <c r="J11" s="536"/>
      <c r="K11" s="538"/>
      <c r="L11" s="537"/>
      <c r="M11" s="536"/>
      <c r="N11" s="536"/>
      <c r="O11" s="536"/>
      <c r="P11" s="538"/>
    </row>
    <row r="12" spans="1:16">
      <c r="A12" s="117" t="s">
        <v>35</v>
      </c>
      <c r="B12" s="114">
        <f t="shared" ref="B12:P12" si="0">SUM(B8:B10)</f>
        <v>1177.6071602234533</v>
      </c>
      <c r="C12" s="30">
        <f t="shared" si="0"/>
        <v>2786.0615631444562</v>
      </c>
      <c r="D12" s="30">
        <f t="shared" si="0"/>
        <v>7769.0397138090739</v>
      </c>
      <c r="E12" s="30">
        <f t="shared" si="0"/>
        <v>13817.730544401766</v>
      </c>
      <c r="F12" s="30">
        <f t="shared" si="0"/>
        <v>3647.6673589878474</v>
      </c>
      <c r="G12" s="119"/>
      <c r="H12" s="73"/>
      <c r="I12" s="73"/>
      <c r="J12" s="73"/>
      <c r="K12" s="75"/>
      <c r="L12" s="119">
        <f t="shared" si="0"/>
        <v>1177.6071602234533</v>
      </c>
      <c r="M12" s="73">
        <f t="shared" si="0"/>
        <v>2786.0615631444562</v>
      </c>
      <c r="N12" s="73">
        <f t="shared" si="0"/>
        <v>7769.0397138090739</v>
      </c>
      <c r="O12" s="73">
        <f t="shared" si="0"/>
        <v>13817.730544401766</v>
      </c>
      <c r="P12" s="75">
        <f t="shared" si="0"/>
        <v>3647.6673589878474</v>
      </c>
    </row>
    <row r="13" spans="1:16">
      <c r="A13" s="382"/>
      <c r="B13" s="38"/>
      <c r="C13" s="68"/>
      <c r="D13" s="68"/>
      <c r="E13" s="68"/>
      <c r="F13" s="68"/>
      <c r="G13" s="537"/>
      <c r="H13" s="536"/>
      <c r="I13" s="536"/>
      <c r="J13" s="536"/>
      <c r="K13" s="538"/>
      <c r="L13" s="537"/>
      <c r="M13" s="536"/>
      <c r="N13" s="536"/>
      <c r="O13" s="536"/>
      <c r="P13" s="538"/>
    </row>
    <row r="14" spans="1:16">
      <c r="A14" s="117" t="s">
        <v>61</v>
      </c>
      <c r="B14" s="114"/>
      <c r="C14" s="30"/>
      <c r="D14" s="30"/>
      <c r="E14" s="30"/>
      <c r="F14" s="30"/>
      <c r="G14" s="119"/>
      <c r="H14" s="73"/>
      <c r="I14" s="73"/>
      <c r="J14" s="73"/>
      <c r="K14" s="75"/>
      <c r="L14" s="119"/>
      <c r="M14" s="73"/>
      <c r="N14" s="73"/>
      <c r="O14" s="73"/>
      <c r="P14" s="75"/>
    </row>
    <row r="15" spans="1:16">
      <c r="A15" s="383">
        <f>Inputs!C3</f>
        <v>2.7723662892949787E-2</v>
      </c>
      <c r="B15" s="114"/>
      <c r="C15" s="30"/>
      <c r="D15" s="30"/>
      <c r="E15" s="30"/>
      <c r="F15" s="30"/>
      <c r="G15" s="119"/>
      <c r="H15" s="73"/>
      <c r="I15" s="73"/>
      <c r="J15" s="73"/>
      <c r="K15" s="75"/>
      <c r="L15" s="119"/>
      <c r="M15" s="73"/>
      <c r="N15" s="73"/>
      <c r="O15" s="73"/>
      <c r="P15" s="75"/>
    </row>
    <row r="16" spans="1:16">
      <c r="A16" s="36" t="s">
        <v>60</v>
      </c>
      <c r="B16" s="114"/>
      <c r="C16" s="30"/>
      <c r="D16" s="30"/>
      <c r="E16" s="30"/>
      <c r="F16" s="30"/>
      <c r="G16" s="119"/>
      <c r="H16" s="73"/>
      <c r="I16" s="73"/>
      <c r="J16" s="73"/>
      <c r="K16" s="75"/>
      <c r="L16" s="119"/>
      <c r="M16" s="73"/>
      <c r="N16" s="73"/>
      <c r="O16" s="73"/>
      <c r="P16" s="75"/>
    </row>
    <row r="17" spans="1:16">
      <c r="A17" s="47">
        <f>Inputs!C4</f>
        <v>1.5023E-2</v>
      </c>
      <c r="B17" s="114"/>
      <c r="C17" s="30"/>
      <c r="D17" s="30"/>
      <c r="E17" s="30"/>
      <c r="F17" s="30"/>
      <c r="G17" s="119"/>
      <c r="H17" s="73"/>
      <c r="I17" s="73"/>
      <c r="J17" s="73"/>
      <c r="K17" s="75"/>
      <c r="L17" s="119"/>
      <c r="M17" s="73"/>
      <c r="N17" s="73"/>
      <c r="O17" s="73"/>
      <c r="P17" s="75"/>
    </row>
    <row r="18" spans="1:16">
      <c r="A18" s="383"/>
      <c r="B18" s="114"/>
      <c r="C18" s="30"/>
      <c r="D18" s="30"/>
      <c r="E18" s="30"/>
      <c r="F18" s="30"/>
      <c r="G18" s="119"/>
      <c r="H18" s="73"/>
      <c r="I18" s="73"/>
      <c r="J18" s="73"/>
      <c r="K18" s="75"/>
      <c r="L18" s="119"/>
      <c r="M18" s="73"/>
      <c r="N18" s="73"/>
      <c r="O18" s="73"/>
      <c r="P18" s="75"/>
    </row>
    <row r="19" spans="1:16">
      <c r="A19" s="384" t="s">
        <v>97</v>
      </c>
      <c r="B19" s="30">
        <f t="shared" ref="B19:C21" si="1">(B8*(1+$A$15)*(1+$A$17))</f>
        <v>614.63391239809016</v>
      </c>
      <c r="C19" s="30">
        <f t="shared" si="1"/>
        <v>2119.3437989713743</v>
      </c>
      <c r="D19" s="30">
        <f t="shared" ref="D19:P19" si="2">(D8*(1+$A$15)*(1+$A$17))</f>
        <v>7206.0846462226891</v>
      </c>
      <c r="E19" s="30">
        <f t="shared" si="2"/>
        <v>12431.94778922835</v>
      </c>
      <c r="F19" s="30">
        <f t="shared" si="2"/>
        <v>3003.7169575202925</v>
      </c>
      <c r="G19" s="114"/>
      <c r="H19" s="30"/>
      <c r="I19" s="30"/>
      <c r="J19" s="30"/>
      <c r="K19" s="40"/>
      <c r="L19" s="114">
        <f t="shared" si="2"/>
        <v>614.63391239809016</v>
      </c>
      <c r="M19" s="30">
        <f t="shared" si="2"/>
        <v>2119.3437989713743</v>
      </c>
      <c r="N19" s="30">
        <f t="shared" si="2"/>
        <v>7206.0846462226891</v>
      </c>
      <c r="O19" s="30">
        <f t="shared" si="2"/>
        <v>12431.94778922835</v>
      </c>
      <c r="P19" s="40">
        <f t="shared" si="2"/>
        <v>3003.7169575202925</v>
      </c>
    </row>
    <row r="20" spans="1:16">
      <c r="A20" s="384" t="s">
        <v>51</v>
      </c>
      <c r="B20" s="30">
        <f t="shared" si="1"/>
        <v>342.86538513685389</v>
      </c>
      <c r="C20" s="30">
        <f t="shared" si="1"/>
        <v>503.34867639535162</v>
      </c>
      <c r="D20" s="30">
        <f t="shared" ref="D20:P20" si="3">(D9*(1+$A$15)*(1+$A$17))</f>
        <v>621.43639251463935</v>
      </c>
      <c r="E20" s="30">
        <f t="shared" si="3"/>
        <v>1510.1996742175038</v>
      </c>
      <c r="F20" s="30">
        <f t="shared" si="3"/>
        <v>516.49802472300291</v>
      </c>
      <c r="G20" s="114"/>
      <c r="H20" s="30"/>
      <c r="I20" s="30"/>
      <c r="J20" s="30"/>
      <c r="K20" s="40"/>
      <c r="L20" s="114">
        <f t="shared" si="3"/>
        <v>342.86538513685389</v>
      </c>
      <c r="M20" s="30">
        <f t="shared" si="3"/>
        <v>503.34867639535162</v>
      </c>
      <c r="N20" s="30">
        <f t="shared" si="3"/>
        <v>621.43639251463935</v>
      </c>
      <c r="O20" s="30">
        <f t="shared" si="3"/>
        <v>1510.1996742175038</v>
      </c>
      <c r="P20" s="40">
        <f t="shared" si="3"/>
        <v>516.49802472300291</v>
      </c>
    </row>
    <row r="21" spans="1:16">
      <c r="A21" s="384" t="s">
        <v>52</v>
      </c>
      <c r="B21" s="30">
        <f t="shared" si="1"/>
        <v>270.93710364029113</v>
      </c>
      <c r="C21" s="30">
        <f t="shared" si="1"/>
        <v>283.62429620623169</v>
      </c>
      <c r="D21" s="30">
        <f t="shared" ref="D21:P21" si="4">(D10*(1+$A$15)*(1+$A$17))</f>
        <v>276.85494417376947</v>
      </c>
      <c r="E21" s="30">
        <f t="shared" si="4"/>
        <v>471.99993283283175</v>
      </c>
      <c r="F21" s="30">
        <f t="shared" si="4"/>
        <v>284.89721010201981</v>
      </c>
      <c r="G21" s="114"/>
      <c r="H21" s="30"/>
      <c r="I21" s="30"/>
      <c r="J21" s="30"/>
      <c r="K21" s="40"/>
      <c r="L21" s="114">
        <f t="shared" si="4"/>
        <v>270.93710364029113</v>
      </c>
      <c r="M21" s="30">
        <f t="shared" si="4"/>
        <v>283.62429620623169</v>
      </c>
      <c r="N21" s="30">
        <f t="shared" si="4"/>
        <v>276.85494417376947</v>
      </c>
      <c r="O21" s="30">
        <f t="shared" si="4"/>
        <v>471.99993283283175</v>
      </c>
      <c r="P21" s="40">
        <f t="shared" si="4"/>
        <v>284.89721010201981</v>
      </c>
    </row>
    <row r="22" spans="1:16">
      <c r="A22" s="383"/>
      <c r="B22" s="114"/>
      <c r="C22" s="30"/>
      <c r="D22" s="30"/>
      <c r="E22" s="30"/>
      <c r="F22" s="30"/>
      <c r="G22" s="119"/>
      <c r="H22" s="73"/>
      <c r="I22" s="73"/>
      <c r="J22" s="73"/>
      <c r="K22" s="75"/>
      <c r="L22" s="119"/>
      <c r="M22" s="73"/>
      <c r="N22" s="73"/>
      <c r="O22" s="73"/>
      <c r="P22" s="75"/>
    </row>
    <row r="23" spans="1:16">
      <c r="A23" s="117" t="s">
        <v>35</v>
      </c>
      <c r="B23" s="114">
        <f t="shared" ref="B23:P23" si="5">SUM(B19:B21)</f>
        <v>1228.4364011752352</v>
      </c>
      <c r="C23" s="30">
        <f t="shared" si="5"/>
        <v>2906.3167715729574</v>
      </c>
      <c r="D23" s="30">
        <f t="shared" si="5"/>
        <v>8104.3759829110977</v>
      </c>
      <c r="E23" s="30">
        <f t="shared" si="5"/>
        <v>14414.147396278686</v>
      </c>
      <c r="F23" s="30">
        <f t="shared" si="5"/>
        <v>3805.1121923453152</v>
      </c>
      <c r="G23" s="119"/>
      <c r="H23" s="73"/>
      <c r="I23" s="73"/>
      <c r="J23" s="73"/>
      <c r="K23" s="75"/>
      <c r="L23" s="119">
        <f t="shared" si="5"/>
        <v>1228.4364011752352</v>
      </c>
      <c r="M23" s="73">
        <f t="shared" si="5"/>
        <v>2906.3167715729574</v>
      </c>
      <c r="N23" s="73">
        <f t="shared" si="5"/>
        <v>8104.3759829110977</v>
      </c>
      <c r="O23" s="73">
        <f t="shared" si="5"/>
        <v>14414.147396278686</v>
      </c>
      <c r="P23" s="75">
        <f t="shared" si="5"/>
        <v>3805.1121923453152</v>
      </c>
    </row>
    <row r="24" spans="1:16">
      <c r="A24" s="382"/>
      <c r="B24" s="38"/>
      <c r="C24" s="68"/>
      <c r="D24" s="68"/>
      <c r="E24" s="68"/>
      <c r="F24" s="68"/>
      <c r="G24" s="537"/>
      <c r="H24" s="536"/>
      <c r="I24" s="536"/>
      <c r="J24" s="536"/>
      <c r="K24" s="538"/>
      <c r="L24" s="537"/>
      <c r="M24" s="536"/>
      <c r="N24" s="536"/>
      <c r="O24" s="536"/>
      <c r="P24" s="538"/>
    </row>
    <row r="25" spans="1:16">
      <c r="A25" s="384" t="str">
        <f>'Resid TSM Sum by Rate Schedule'!A25</f>
        <v>Annualized Transformer Cost at 8.05%</v>
      </c>
      <c r="B25" s="119">
        <f>B19*Inputs!$C$5</f>
        <v>49.464915217548914</v>
      </c>
      <c r="C25" s="73">
        <f>C19*Inputs!$C$5</f>
        <v>170.5619543899459</v>
      </c>
      <c r="D25" s="73">
        <f>D19*Inputs!$C$5</f>
        <v>579.93605443140507</v>
      </c>
      <c r="E25" s="73">
        <f>E19*Inputs!$C$5</f>
        <v>1000.5065307637682</v>
      </c>
      <c r="F25" s="73">
        <f>F19*Inputs!$C$5</f>
        <v>241.73512337051596</v>
      </c>
      <c r="G25" s="119"/>
      <c r="H25" s="73"/>
      <c r="I25" s="73"/>
      <c r="J25" s="73"/>
      <c r="K25" s="75"/>
      <c r="L25" s="119">
        <f>L19*Inputs!$C$5</f>
        <v>49.464915217548914</v>
      </c>
      <c r="M25" s="73">
        <f>M19*Inputs!$C$5</f>
        <v>170.5619543899459</v>
      </c>
      <c r="N25" s="73">
        <f>N19*Inputs!$C$5</f>
        <v>579.93605443140507</v>
      </c>
      <c r="O25" s="73">
        <f>O19*Inputs!$C$5</f>
        <v>1000.5065307637682</v>
      </c>
      <c r="P25" s="75">
        <f>P19*Inputs!$C$5</f>
        <v>241.73512337051596</v>
      </c>
    </row>
    <row r="26" spans="1:16">
      <c r="A26" s="384" t="str">
        <f>'Resid TSM Sum by Rate Schedule'!A26</f>
        <v>Annualized Services Cost at 7.08%</v>
      </c>
      <c r="B26" s="119">
        <f>B20*Inputs!$C$6</f>
        <v>24.266318185006774</v>
      </c>
      <c r="C26" s="73">
        <f>C20*Inputs!$C$6</f>
        <v>35.624532743473814</v>
      </c>
      <c r="D26" s="73">
        <f>D20*Inputs!$C$6</f>
        <v>43.98219793019895</v>
      </c>
      <c r="E26" s="73">
        <f>E20*Inputs!$C$6</f>
        <v>106.88447246673199</v>
      </c>
      <c r="F26" s="73">
        <f>F20*Inputs!$C$6</f>
        <v>36.555178659558081</v>
      </c>
      <c r="G26" s="119"/>
      <c r="H26" s="73"/>
      <c r="I26" s="73"/>
      <c r="J26" s="73"/>
      <c r="K26" s="75"/>
      <c r="L26" s="119">
        <f>L20*Inputs!$C$6</f>
        <v>24.266318185006774</v>
      </c>
      <c r="M26" s="73">
        <f>M20*Inputs!$C$6</f>
        <v>35.624532743473814</v>
      </c>
      <c r="N26" s="73">
        <f>N20*Inputs!$C$6</f>
        <v>43.98219793019895</v>
      </c>
      <c r="O26" s="73">
        <f>O20*Inputs!$C$6</f>
        <v>106.88447246673199</v>
      </c>
      <c r="P26" s="75">
        <f>P20*Inputs!$C$6</f>
        <v>36.555178659558081</v>
      </c>
    </row>
    <row r="27" spans="1:16" ht="15">
      <c r="A27" s="384" t="str">
        <f>'Resid TSM Sum by Rate Schedule'!A27</f>
        <v>Annualized Meter Cost at 10.78%</v>
      </c>
      <c r="B27" s="465">
        <f>B21*Inputs!$C$7</f>
        <v>29.197929655536171</v>
      </c>
      <c r="C27" s="464">
        <f>C21*Inputs!$C$7</f>
        <v>30.565183350542771</v>
      </c>
      <c r="D27" s="464">
        <f>D21*Inputs!$C$7</f>
        <v>29.835674317627873</v>
      </c>
      <c r="E27" s="464">
        <f>E21*Inputs!$C$7</f>
        <v>50.865756853176094</v>
      </c>
      <c r="F27" s="464">
        <f>F21*Inputs!$C$7</f>
        <v>30.702360761415665</v>
      </c>
      <c r="G27" s="465"/>
      <c r="H27" s="464"/>
      <c r="I27" s="464"/>
      <c r="J27" s="464"/>
      <c r="K27" s="463"/>
      <c r="L27" s="465">
        <f>L21*Inputs!$C$7</f>
        <v>29.197929655536171</v>
      </c>
      <c r="M27" s="464">
        <f>M21*Inputs!$C$7</f>
        <v>30.565183350542771</v>
      </c>
      <c r="N27" s="464">
        <f>N21*Inputs!$C$7</f>
        <v>29.835674317627873</v>
      </c>
      <c r="O27" s="464">
        <f>O21*Inputs!$C$7</f>
        <v>50.865756853176094</v>
      </c>
      <c r="P27" s="463">
        <f>P21*Inputs!$C$7</f>
        <v>30.702360761415665</v>
      </c>
    </row>
    <row r="28" spans="1:16">
      <c r="A28" s="459" t="s">
        <v>312</v>
      </c>
      <c r="B28" s="467">
        <f t="shared" ref="B28:P28" si="6">SUM(B25:B27)</f>
        <v>102.92916305809186</v>
      </c>
      <c r="C28" s="466">
        <f t="shared" si="6"/>
        <v>236.7516704839625</v>
      </c>
      <c r="D28" s="466">
        <f t="shared" si="6"/>
        <v>653.75392667923188</v>
      </c>
      <c r="E28" s="466">
        <f t="shared" si="6"/>
        <v>1158.2567600836765</v>
      </c>
      <c r="F28" s="466">
        <f t="shared" si="6"/>
        <v>308.99266279148969</v>
      </c>
      <c r="G28" s="467"/>
      <c r="H28" s="466"/>
      <c r="I28" s="466"/>
      <c r="J28" s="466"/>
      <c r="K28" s="468"/>
      <c r="L28" s="467">
        <f t="shared" si="6"/>
        <v>102.92916305809186</v>
      </c>
      <c r="M28" s="466">
        <f t="shared" si="6"/>
        <v>236.7516704839625</v>
      </c>
      <c r="N28" s="466">
        <f t="shared" si="6"/>
        <v>653.75392667923188</v>
      </c>
      <c r="O28" s="466">
        <f t="shared" si="6"/>
        <v>1158.2567600836765</v>
      </c>
      <c r="P28" s="468">
        <f t="shared" si="6"/>
        <v>308.99266279148969</v>
      </c>
    </row>
    <row r="29" spans="1:16">
      <c r="A29" s="383"/>
      <c r="B29" s="47"/>
      <c r="C29" s="69"/>
      <c r="D29" s="69"/>
      <c r="E29" s="69"/>
      <c r="F29" s="69"/>
      <c r="G29" s="540"/>
      <c r="H29" s="539"/>
      <c r="I29" s="539"/>
      <c r="J29" s="539"/>
      <c r="K29" s="541"/>
      <c r="L29" s="540"/>
      <c r="M29" s="539"/>
      <c r="N29" s="539"/>
      <c r="O29" s="539"/>
      <c r="P29" s="541"/>
    </row>
    <row r="30" spans="1:16">
      <c r="A30" s="117" t="s">
        <v>50</v>
      </c>
      <c r="B30" s="111">
        <f>('Sch TOU-A TSM Summary'!B31*'Sm Comm Cust Fcst'!$F$42+'Sch A-TOU TSM Summary'!B31*'Sm Comm Cust Fcst'!$T$42)/'Sm Comm Cust Fcst'!$AH$42</f>
        <v>121.88095761866522</v>
      </c>
      <c r="C30" s="33">
        <f>('Sch TOU-A TSM Summary'!C31*'Sm Comm Cust Fcst'!$F$43+'Sch A-TOU TSM Summary'!C31*'Sm Comm Cust Fcst'!$T$43)/'Sm Comm Cust Fcst'!$AH$43</f>
        <v>121.88095761866522</v>
      </c>
      <c r="D30" s="33">
        <f>('Sch TOU-A TSM Summary'!D31*'Sm Comm Cust Fcst'!$F$44+'Sch A-TOU TSM Summary'!D31*'Sm Comm Cust Fcst'!$T$44)/'Sm Comm Cust Fcst'!$AH$44</f>
        <v>125.09841974634968</v>
      </c>
      <c r="E30" s="33">
        <f>('Sch TOU-A TSM Summary'!E31*'Sm Comm Cust Fcst'!$F$45+'Sch A-TOU TSM Summary'!E31*'Sm Comm Cust Fcst'!$T$45)/'Sm Comm Cust Fcst'!$AH$45</f>
        <v>121.88095761866522</v>
      </c>
      <c r="F30" s="33">
        <f>('Sch TOU-A TSM Summary'!F31*'Sm Comm Cust Fcst'!$F$41+'Sch A-TOU TSM Summary'!F31*'Sm Comm Cust Fcst'!$T$41)/'Sm Comm Cust Fcst'!$AH$41</f>
        <v>122.47548866399822</v>
      </c>
      <c r="G30" s="111"/>
      <c r="H30" s="33"/>
      <c r="I30" s="33"/>
      <c r="J30" s="33"/>
      <c r="K30" s="34"/>
      <c r="L30" s="111">
        <f>('Sch TOU-A TSM Summary'!L31*'Sm Comm Cust Fcst'!$H$42+'Sch A-TOU TSM Summary'!L31*'Sm Comm Cust Fcst'!$V$42)/'Sm Comm Cust Fcst'!$AJ$42</f>
        <v>121.88095761866522</v>
      </c>
      <c r="M30" s="33">
        <f>('Sch TOU-A TSM Summary'!M31*'Sm Comm Cust Fcst'!$H$43+'Sch A-TOU TSM Summary'!M31*'Sm Comm Cust Fcst'!$V$43)/'Sm Comm Cust Fcst'!$AJ$43</f>
        <v>121.88095761866522</v>
      </c>
      <c r="N30" s="33">
        <f>('Sch TOU-A TSM Summary'!N31*'Sm Comm Cust Fcst'!$H$44+'Sch A-TOU TSM Summary'!N31*'Sm Comm Cust Fcst'!$V$44)/'Sm Comm Cust Fcst'!$AJ$44</f>
        <v>125.09841974634968</v>
      </c>
      <c r="O30" s="33">
        <f>('Sch TOU-A TSM Summary'!O31*'Sm Comm Cust Fcst'!$H$45+'Sch A-TOU TSM Summary'!O31*'Sm Comm Cust Fcst'!$V$45)/'Sm Comm Cust Fcst'!$AJ$45</f>
        <v>121.88095761866522</v>
      </c>
      <c r="P30" s="34">
        <f>('Sch TOU-A TSM Summary'!P31*'Sm Comm Cust Fcst'!$H$41+'Sch A-TOU TSM Summary'!P31*'Sm Comm Cust Fcst'!$V$41)/'Sm Comm Cust Fcst'!$AJ$41</f>
        <v>122.47548866399822</v>
      </c>
    </row>
    <row r="31" spans="1:16">
      <c r="A31" s="118"/>
      <c r="B31" s="11"/>
      <c r="C31" s="12"/>
      <c r="D31" s="12"/>
      <c r="E31" s="12"/>
      <c r="F31" s="12"/>
      <c r="G31" s="102"/>
      <c r="H31" s="89"/>
      <c r="I31" s="89"/>
      <c r="J31" s="89"/>
      <c r="K31" s="444"/>
      <c r="L31" s="102"/>
      <c r="M31" s="89"/>
      <c r="N31" s="89"/>
      <c r="O31" s="89"/>
      <c r="P31" s="444"/>
    </row>
    <row r="32" spans="1:16">
      <c r="A32" s="117" t="s">
        <v>57</v>
      </c>
      <c r="B32" s="111">
        <f>('Sch TOU-A TSM Summary'!B33*'Sm Comm Cust Fcst'!$F$42+'Sch A-TOU TSM Summary'!B33*'Sm Comm Cust Fcst'!$T$42)/'Sm Comm Cust Fcst'!$AH$42</f>
        <v>52.536506967829752</v>
      </c>
      <c r="C32" s="33">
        <f>('Sch TOU-A TSM Summary'!C33*'Sm Comm Cust Fcst'!$F$43+'Sch A-TOU TSM Summary'!C33*'Sm Comm Cust Fcst'!$T$43)/'Sm Comm Cust Fcst'!$AH$43</f>
        <v>52.536506967829752</v>
      </c>
      <c r="D32" s="33">
        <f>('Sch TOU-A TSM Summary'!D33*'Sm Comm Cust Fcst'!$F$44+'Sch A-TOU TSM Summary'!D33*'Sm Comm Cust Fcst'!$T$44)/'Sm Comm Cust Fcst'!$AH$44</f>
        <v>52.536506967829752</v>
      </c>
      <c r="E32" s="33">
        <f>('Sch TOU-A TSM Summary'!E33*'Sm Comm Cust Fcst'!$F$45+'Sch A-TOU TSM Summary'!E33*'Sm Comm Cust Fcst'!$T$45)/'Sm Comm Cust Fcst'!$AH$45</f>
        <v>52.536506967829752</v>
      </c>
      <c r="F32" s="33">
        <f>('Sch TOU-A TSM Summary'!F33*'Sm Comm Cust Fcst'!$F$41+'Sch A-TOU TSM Summary'!F33*'Sm Comm Cust Fcst'!$T$41)/'Sm Comm Cust Fcst'!$AH$41</f>
        <v>52.536506967829744</v>
      </c>
      <c r="G32" s="111"/>
      <c r="H32" s="33"/>
      <c r="I32" s="33"/>
      <c r="J32" s="33"/>
      <c r="K32" s="34"/>
      <c r="L32" s="111">
        <f>('Sch TOU-A TSM Summary'!L33*'Sm Comm Cust Fcst'!$H$42+'Sch A-TOU TSM Summary'!L33*'Sm Comm Cust Fcst'!$V$42)/'Sm Comm Cust Fcst'!$AJ$42</f>
        <v>52.536506967829752</v>
      </c>
      <c r="M32" s="33">
        <f>('Sch TOU-A TSM Summary'!M33*'Sm Comm Cust Fcst'!$H$43+'Sch A-TOU TSM Summary'!M33*'Sm Comm Cust Fcst'!$V$43)/'Sm Comm Cust Fcst'!$AJ$43</f>
        <v>52.536506967829752</v>
      </c>
      <c r="N32" s="33">
        <f>('Sch TOU-A TSM Summary'!N33*'Sm Comm Cust Fcst'!$H$44+'Sch A-TOU TSM Summary'!N33*'Sm Comm Cust Fcst'!$V$44)/'Sm Comm Cust Fcst'!$AJ$44</f>
        <v>52.536506967829752</v>
      </c>
      <c r="O32" s="33">
        <f>('Sch TOU-A TSM Summary'!O33*'Sm Comm Cust Fcst'!$H$45+'Sch A-TOU TSM Summary'!O33*'Sm Comm Cust Fcst'!$V$45)/'Sm Comm Cust Fcst'!$AJ$45</f>
        <v>52.536506967829752</v>
      </c>
      <c r="P32" s="34">
        <f>('Sch TOU-A TSM Summary'!P33*'Sm Comm Cust Fcst'!$H$41+'Sch A-TOU TSM Summary'!P33*'Sm Comm Cust Fcst'!$V$41)/'Sm Comm Cust Fcst'!$AJ$41</f>
        <v>52.536506967829744</v>
      </c>
    </row>
    <row r="33" spans="1:16">
      <c r="A33" s="118"/>
      <c r="B33" s="11"/>
      <c r="C33" s="12"/>
      <c r="D33" s="12"/>
      <c r="E33" s="12"/>
      <c r="F33" s="12"/>
      <c r="G33" s="102"/>
      <c r="H33" s="89"/>
      <c r="I33" s="89"/>
      <c r="J33" s="89"/>
      <c r="K33" s="444"/>
      <c r="L33" s="102"/>
      <c r="M33" s="89"/>
      <c r="N33" s="89"/>
      <c r="O33" s="89"/>
      <c r="P33" s="444"/>
    </row>
    <row r="34" spans="1:16" ht="13.5" thickBot="1">
      <c r="A34" s="460" t="s">
        <v>86</v>
      </c>
      <c r="B34" s="288">
        <f t="shared" ref="B34:P34" si="7">B28+B30+B32</f>
        <v>277.34662764458687</v>
      </c>
      <c r="C34" s="289">
        <f t="shared" si="7"/>
        <v>411.16913507045751</v>
      </c>
      <c r="D34" s="289">
        <f t="shared" si="7"/>
        <v>831.3888533934113</v>
      </c>
      <c r="E34" s="289">
        <f t="shared" si="7"/>
        <v>1332.6742246701715</v>
      </c>
      <c r="F34" s="289">
        <f t="shared" si="7"/>
        <v>484.00465842331766</v>
      </c>
      <c r="G34" s="543"/>
      <c r="H34" s="542"/>
      <c r="I34" s="542"/>
      <c r="J34" s="542"/>
      <c r="K34" s="544"/>
      <c r="L34" s="543">
        <f t="shared" si="7"/>
        <v>277.34662764458687</v>
      </c>
      <c r="M34" s="542">
        <f t="shared" si="7"/>
        <v>411.16913507045751</v>
      </c>
      <c r="N34" s="542">
        <f t="shared" si="7"/>
        <v>831.3888533934113</v>
      </c>
      <c r="O34" s="542">
        <f t="shared" si="7"/>
        <v>1332.6742246701715</v>
      </c>
      <c r="P34" s="544">
        <f t="shared" si="7"/>
        <v>484.00465842331766</v>
      </c>
    </row>
    <row r="35" spans="1:16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</row>
    <row r="37" spans="1:16"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>
      <c r="A38" t="s">
        <v>3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</row>
    <row r="39" spans="1:16"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6"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</row>
    <row r="41" spans="1:16"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6" spans="1:16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</row>
    <row r="58" spans="1:1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75">
    <tabColor rgb="FF00642D"/>
    <pageSetUpPr fitToPage="1"/>
  </sheetPr>
  <dimension ref="A1:S60"/>
  <sheetViews>
    <sheetView zoomScaleNormal="100" workbookViewId="0">
      <selection activeCell="I31" sqref="I31"/>
    </sheetView>
  </sheetViews>
  <sheetFormatPr defaultRowHeight="12.75"/>
  <cols>
    <col min="1" max="1" width="41.140625" customWidth="1"/>
    <col min="2" max="11" width="11.140625" customWidth="1"/>
    <col min="12" max="12" width="9.140625" bestFit="1" customWidth="1"/>
    <col min="13" max="15" width="10.28515625" bestFit="1" customWidth="1"/>
    <col min="16" max="16" width="9.140625" bestFit="1" customWidth="1"/>
  </cols>
  <sheetData>
    <row r="1" spans="1:19" ht="18.75" thickBot="1">
      <c r="A1" s="741" t="s">
        <v>366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  <c r="N1" s="741"/>
      <c r="O1" s="741"/>
      <c r="P1" s="741"/>
    </row>
    <row r="2" spans="1:19" ht="13.5" thickBot="1">
      <c r="A2" s="103"/>
      <c r="B2" s="742" t="s">
        <v>0</v>
      </c>
      <c r="C2" s="743"/>
      <c r="D2" s="743"/>
      <c r="E2" s="743"/>
      <c r="F2" s="743"/>
      <c r="G2" s="742" t="s">
        <v>1</v>
      </c>
      <c r="H2" s="743"/>
      <c r="I2" s="743"/>
      <c r="J2" s="743"/>
      <c r="K2" s="744"/>
      <c r="L2" s="742" t="s">
        <v>200</v>
      </c>
      <c r="M2" s="743"/>
      <c r="N2" s="743"/>
      <c r="O2" s="743"/>
      <c r="P2" s="744"/>
    </row>
    <row r="3" spans="1:19" ht="13.5" thickBot="1">
      <c r="A3" s="77" t="s">
        <v>47</v>
      </c>
      <c r="B3" s="351" t="s">
        <v>92</v>
      </c>
      <c r="C3" s="352" t="s">
        <v>114</v>
      </c>
      <c r="D3" s="352" t="s">
        <v>115</v>
      </c>
      <c r="E3" s="352" t="s">
        <v>116</v>
      </c>
      <c r="F3" s="455" t="s">
        <v>135</v>
      </c>
      <c r="G3" s="348" t="s">
        <v>92</v>
      </c>
      <c r="H3" s="349" t="s">
        <v>114</v>
      </c>
      <c r="I3" s="349" t="s">
        <v>115</v>
      </c>
      <c r="J3" s="349" t="s">
        <v>116</v>
      </c>
      <c r="K3" s="350" t="s">
        <v>136</v>
      </c>
      <c r="L3" s="348" t="s">
        <v>92</v>
      </c>
      <c r="M3" s="349" t="s">
        <v>114</v>
      </c>
      <c r="N3" s="349" t="s">
        <v>115</v>
      </c>
      <c r="O3" s="349" t="s">
        <v>116</v>
      </c>
      <c r="P3" s="350" t="s">
        <v>2</v>
      </c>
    </row>
    <row r="4" spans="1:19">
      <c r="A4" s="459"/>
      <c r="B4" s="35"/>
      <c r="C4" s="149"/>
      <c r="D4" s="149"/>
      <c r="E4" s="149"/>
      <c r="F4" s="149"/>
      <c r="G4" s="35"/>
      <c r="H4" s="149"/>
      <c r="I4" s="149"/>
      <c r="J4" s="149"/>
      <c r="K4" s="284"/>
      <c r="L4" s="35"/>
      <c r="M4" s="149"/>
      <c r="N4" s="149"/>
      <c r="O4" s="149"/>
      <c r="P4" s="284"/>
    </row>
    <row r="5" spans="1:19">
      <c r="A5" s="117"/>
      <c r="B5" s="36"/>
      <c r="C5" s="66"/>
      <c r="D5" s="66"/>
      <c r="E5" s="66"/>
      <c r="F5" s="66"/>
      <c r="G5" s="36"/>
      <c r="H5" s="66"/>
      <c r="I5" s="66"/>
      <c r="J5" s="66"/>
      <c r="K5" s="132"/>
      <c r="L5" s="36"/>
      <c r="M5" s="66"/>
      <c r="N5" s="66"/>
      <c r="O5" s="66"/>
      <c r="P5" s="132"/>
    </row>
    <row r="6" spans="1:19">
      <c r="A6" s="117" t="s">
        <v>49</v>
      </c>
      <c r="B6" s="36"/>
      <c r="C6" s="66"/>
      <c r="D6" s="66"/>
      <c r="E6" s="66"/>
      <c r="F6" s="66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9">
      <c r="A7" s="381"/>
      <c r="B7" s="37"/>
      <c r="C7" s="67"/>
      <c r="D7" s="67"/>
      <c r="E7" s="67"/>
      <c r="F7" s="67"/>
      <c r="G7" s="37"/>
      <c r="H7" s="67"/>
      <c r="I7" s="67"/>
      <c r="J7" s="67"/>
      <c r="K7" s="133"/>
      <c r="L7" s="37"/>
      <c r="M7" s="67"/>
      <c r="N7" s="67"/>
      <c r="O7" s="67"/>
      <c r="P7" s="133"/>
    </row>
    <row r="8" spans="1:19">
      <c r="A8" s="117" t="s">
        <v>53</v>
      </c>
      <c r="B8" s="111">
        <f>'Small Comm TSM Summary'!B8*Inputs!$C$12</f>
        <v>639.36915147353295</v>
      </c>
      <c r="C8" s="33">
        <f>'Small Comm TSM Summary'!C8*Inputs!$C$12</f>
        <v>2204.6343670529172</v>
      </c>
      <c r="D8" s="33">
        <f>'Small Comm TSM Summary'!D8*Inputs!$C$12</f>
        <v>7496.0852838815317</v>
      </c>
      <c r="E8" s="33">
        <f>'Small Comm TSM Summary'!E8*Inputs!$C$12</f>
        <v>12932.257314194518</v>
      </c>
      <c r="F8" s="33">
        <f>'Small Comm TSM Summary'!F8*Inputs!$C$12</f>
        <v>3124.5981122378093</v>
      </c>
      <c r="G8" s="111"/>
      <c r="H8" s="33"/>
      <c r="I8" s="33"/>
      <c r="J8" s="33"/>
      <c r="K8" s="34"/>
      <c r="L8" s="111">
        <f>'Small Comm TSM Summary'!L8*Inputs!$C$12</f>
        <v>639.36915147353295</v>
      </c>
      <c r="M8" s="33">
        <f>'Small Comm TSM Summary'!M8*Inputs!$C$12</f>
        <v>2204.6343670529172</v>
      </c>
      <c r="N8" s="33">
        <f>'Small Comm TSM Summary'!N8*Inputs!$C$12</f>
        <v>7496.0852838815317</v>
      </c>
      <c r="O8" s="33">
        <f>'Small Comm TSM Summary'!O8*Inputs!$C$12</f>
        <v>12932.257314194518</v>
      </c>
      <c r="P8" s="34">
        <f>'Small Comm TSM Summary'!P8*Inputs!$C$12</f>
        <v>3124.5981122378093</v>
      </c>
      <c r="R8" s="398"/>
      <c r="S8" s="398"/>
    </row>
    <row r="9" spans="1:19">
      <c r="A9" s="117" t="s">
        <v>51</v>
      </c>
      <c r="B9" s="111">
        <f>'Small Comm TSM Summary'!B9*Inputs!$C$12</f>
        <v>356.66361055361369</v>
      </c>
      <c r="C9" s="33">
        <f>'Small Comm TSM Summary'!C9*Inputs!$C$12</f>
        <v>523.60536838354562</v>
      </c>
      <c r="D9" s="33">
        <f>'Small Comm TSM Summary'!D9*Inputs!$C$12</f>
        <v>646.44538962489719</v>
      </c>
      <c r="E9" s="33">
        <f>'Small Comm TSM Summary'!E9*Inputs!$C$12</f>
        <v>1570.9759334507096</v>
      </c>
      <c r="F9" s="33">
        <f>'Small Comm TSM Summary'!F9*Inputs!$C$12</f>
        <v>537.28389720060682</v>
      </c>
      <c r="G9" s="111"/>
      <c r="H9" s="33"/>
      <c r="I9" s="33"/>
      <c r="J9" s="33"/>
      <c r="K9" s="34"/>
      <c r="L9" s="111">
        <f>'Small Comm TSM Summary'!L9*Inputs!$C$12</f>
        <v>356.66361055361369</v>
      </c>
      <c r="M9" s="33">
        <f>'Small Comm TSM Summary'!M9*Inputs!$C$12</f>
        <v>523.60536838354562</v>
      </c>
      <c r="N9" s="33">
        <f>'Small Comm TSM Summary'!N9*Inputs!$C$12</f>
        <v>646.44538962489719</v>
      </c>
      <c r="O9" s="33">
        <f>'Small Comm TSM Summary'!O9*Inputs!$C$12</f>
        <v>1570.9759334507096</v>
      </c>
      <c r="P9" s="34">
        <f>'Small Comm TSM Summary'!P9*Inputs!$C$12</f>
        <v>537.28389720060682</v>
      </c>
      <c r="R9" s="398"/>
      <c r="S9" s="398"/>
    </row>
    <row r="10" spans="1:19">
      <c r="A10" s="117" t="s">
        <v>52</v>
      </c>
      <c r="B10" s="111">
        <f>'Small Comm TSM Summary'!B10*Inputs!$C$12</f>
        <v>281.84065760594029</v>
      </c>
      <c r="C10" s="33">
        <f>'Small Comm TSM Summary'!C10*Inputs!$C$12</f>
        <v>295.03843173105685</v>
      </c>
      <c r="D10" s="33">
        <f>'Small Comm TSM Summary'!D10*Inputs!$C$12</f>
        <v>287.99665486564737</v>
      </c>
      <c r="E10" s="33">
        <f>'Small Comm TSM Summary'!E10*Inputs!$C$12</f>
        <v>490.99503047829211</v>
      </c>
      <c r="F10" s="33">
        <f>'Small Comm TSM Summary'!F10*Inputs!$C$12</f>
        <v>296.36257259122112</v>
      </c>
      <c r="G10" s="111"/>
      <c r="H10" s="33"/>
      <c r="I10" s="33"/>
      <c r="J10" s="33"/>
      <c r="K10" s="34"/>
      <c r="L10" s="111">
        <f>'Small Comm TSM Summary'!L10*Inputs!$C$12</f>
        <v>281.84065760594029</v>
      </c>
      <c r="M10" s="33">
        <f>'Small Comm TSM Summary'!M10*Inputs!$C$12</f>
        <v>295.03843173105685</v>
      </c>
      <c r="N10" s="33">
        <f>'Small Comm TSM Summary'!N10*Inputs!$C$12</f>
        <v>287.99665486564737</v>
      </c>
      <c r="O10" s="33">
        <f>'Small Comm TSM Summary'!O10*Inputs!$C$12</f>
        <v>490.99503047829211</v>
      </c>
      <c r="P10" s="34">
        <f>'Small Comm TSM Summary'!P10*Inputs!$C$12</f>
        <v>296.36257259122112</v>
      </c>
      <c r="R10" s="398"/>
      <c r="S10" s="398"/>
    </row>
    <row r="11" spans="1:19">
      <c r="A11" s="382"/>
      <c r="B11" s="38"/>
      <c r="C11" s="68"/>
      <c r="D11" s="68"/>
      <c r="E11" s="68"/>
      <c r="F11" s="68"/>
      <c r="G11" s="38"/>
      <c r="H11" s="68"/>
      <c r="I11" s="68"/>
      <c r="J11" s="68"/>
      <c r="K11" s="286"/>
      <c r="L11" s="38"/>
      <c r="M11" s="68"/>
      <c r="N11" s="68"/>
      <c r="O11" s="68"/>
      <c r="P11" s="286"/>
      <c r="R11" s="398"/>
      <c r="S11" s="398"/>
    </row>
    <row r="12" spans="1:19">
      <c r="A12" s="117" t="s">
        <v>35</v>
      </c>
      <c r="B12" s="114">
        <f t="shared" ref="B12:P12" si="0">SUM(B8:B10)</f>
        <v>1277.873419633087</v>
      </c>
      <c r="C12" s="30">
        <f t="shared" si="0"/>
        <v>3023.2781671675198</v>
      </c>
      <c r="D12" s="30">
        <f t="shared" si="0"/>
        <v>8430.5273283720762</v>
      </c>
      <c r="E12" s="30">
        <f t="shared" si="0"/>
        <v>14994.228278123519</v>
      </c>
      <c r="F12" s="30">
        <f t="shared" si="0"/>
        <v>3958.2445820296375</v>
      </c>
      <c r="G12" s="114"/>
      <c r="H12" s="30"/>
      <c r="I12" s="30"/>
      <c r="J12" s="30"/>
      <c r="K12" s="40"/>
      <c r="L12" s="114">
        <f t="shared" si="0"/>
        <v>1277.873419633087</v>
      </c>
      <c r="M12" s="30">
        <f t="shared" si="0"/>
        <v>3023.2781671675198</v>
      </c>
      <c r="N12" s="30">
        <f t="shared" si="0"/>
        <v>8430.5273283720762</v>
      </c>
      <c r="O12" s="30">
        <f t="shared" si="0"/>
        <v>14994.228278123519</v>
      </c>
      <c r="P12" s="40">
        <f t="shared" si="0"/>
        <v>3958.2445820296375</v>
      </c>
      <c r="R12" s="398"/>
      <c r="S12" s="398"/>
    </row>
    <row r="13" spans="1:19">
      <c r="A13" s="382"/>
      <c r="B13" s="38"/>
      <c r="C13" s="68"/>
      <c r="D13" s="68"/>
      <c r="E13" s="68"/>
      <c r="F13" s="68"/>
      <c r="G13" s="38"/>
      <c r="H13" s="68"/>
      <c r="I13" s="68"/>
      <c r="J13" s="68"/>
      <c r="K13" s="286"/>
      <c r="L13" s="38"/>
      <c r="M13" s="68"/>
      <c r="N13" s="68"/>
      <c r="O13" s="68"/>
      <c r="P13" s="286"/>
    </row>
    <row r="14" spans="1:19">
      <c r="A14" s="117" t="s">
        <v>61</v>
      </c>
      <c r="B14" s="114"/>
      <c r="C14" s="30"/>
      <c r="D14" s="30"/>
      <c r="E14" s="30"/>
      <c r="F14" s="30"/>
      <c r="G14" s="114"/>
      <c r="H14" s="30"/>
      <c r="I14" s="30"/>
      <c r="J14" s="30"/>
      <c r="K14" s="40"/>
      <c r="L14" s="114"/>
      <c r="M14" s="30"/>
      <c r="N14" s="30"/>
      <c r="O14" s="30"/>
      <c r="P14" s="40"/>
    </row>
    <row r="15" spans="1:19">
      <c r="A15" s="383">
        <f>Inputs!C3</f>
        <v>2.7723662892949787E-2</v>
      </c>
      <c r="B15" s="114"/>
      <c r="C15" s="30"/>
      <c r="D15" s="30"/>
      <c r="E15" s="30"/>
      <c r="F15" s="3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9">
      <c r="A16" s="36" t="s">
        <v>60</v>
      </c>
      <c r="B16" s="114"/>
      <c r="C16" s="30"/>
      <c r="D16" s="30"/>
      <c r="E16" s="30"/>
      <c r="F16" s="3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9">
      <c r="A17" s="47">
        <f>Inputs!C4</f>
        <v>1.5023E-2</v>
      </c>
      <c r="B17" s="114"/>
      <c r="C17" s="30"/>
      <c r="D17" s="30"/>
      <c r="E17" s="30"/>
      <c r="F17" s="3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9">
      <c r="A18" s="383"/>
      <c r="B18" s="114"/>
      <c r="C18" s="30"/>
      <c r="D18" s="30"/>
      <c r="E18" s="30"/>
      <c r="F18" s="3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9">
      <c r="A19" s="384" t="s">
        <v>97</v>
      </c>
      <c r="B19" s="30">
        <f t="shared" ref="B19:P21" si="1">(B8*(1+$A$15)*(1+$A$17))</f>
        <v>666.96634156807841</v>
      </c>
      <c r="C19" s="30">
        <f t="shared" si="1"/>
        <v>2299.793343015876</v>
      </c>
      <c r="D19" s="30">
        <f t="shared" si="1"/>
        <v>7819.6399784854775</v>
      </c>
      <c r="E19" s="30">
        <f t="shared" si="1"/>
        <v>13490.454347362102</v>
      </c>
      <c r="F19" s="30">
        <f t="shared" si="1"/>
        <v>3259.4656263706897</v>
      </c>
      <c r="G19" s="114"/>
      <c r="H19" s="30"/>
      <c r="I19" s="30"/>
      <c r="J19" s="30"/>
      <c r="K19" s="40"/>
      <c r="L19" s="114">
        <f t="shared" si="1"/>
        <v>666.96634156807841</v>
      </c>
      <c r="M19" s="30">
        <f t="shared" si="1"/>
        <v>2299.793343015876</v>
      </c>
      <c r="N19" s="30">
        <f t="shared" si="1"/>
        <v>7819.6399784854775</v>
      </c>
      <c r="O19" s="30">
        <f t="shared" si="1"/>
        <v>13490.454347362102</v>
      </c>
      <c r="P19" s="40">
        <f t="shared" si="1"/>
        <v>3259.4656263706897</v>
      </c>
    </row>
    <row r="20" spans="1:19">
      <c r="A20" s="384" t="s">
        <v>51</v>
      </c>
      <c r="B20" s="30">
        <f t="shared" si="1"/>
        <v>372.05833743020816</v>
      </c>
      <c r="C20" s="30">
        <f t="shared" si="1"/>
        <v>546.20582830955652</v>
      </c>
      <c r="D20" s="30">
        <f t="shared" si="1"/>
        <v>674.34801248698761</v>
      </c>
      <c r="E20" s="30">
        <f t="shared" si="1"/>
        <v>1638.7842119225086</v>
      </c>
      <c r="F20" s="30">
        <f t="shared" si="1"/>
        <v>560.47476559269433</v>
      </c>
      <c r="G20" s="114"/>
      <c r="H20" s="30"/>
      <c r="I20" s="30"/>
      <c r="J20" s="30"/>
      <c r="K20" s="40"/>
      <c r="L20" s="114">
        <f t="shared" si="1"/>
        <v>372.05833743020816</v>
      </c>
      <c r="M20" s="30">
        <f t="shared" si="1"/>
        <v>546.20582830955652</v>
      </c>
      <c r="N20" s="30">
        <f t="shared" si="1"/>
        <v>674.34801248698761</v>
      </c>
      <c r="O20" s="30">
        <f t="shared" si="1"/>
        <v>1638.7842119225086</v>
      </c>
      <c r="P20" s="40">
        <f t="shared" si="1"/>
        <v>560.47476559269433</v>
      </c>
    </row>
    <row r="21" spans="1:19">
      <c r="A21" s="384" t="s">
        <v>52</v>
      </c>
      <c r="B21" s="30">
        <f t="shared" si="1"/>
        <v>294.00578973093735</v>
      </c>
      <c r="C21" s="30">
        <f t="shared" si="1"/>
        <v>307.77322143261404</v>
      </c>
      <c r="D21" s="30">
        <f t="shared" si="1"/>
        <v>300.42749925750326</v>
      </c>
      <c r="E21" s="30">
        <f t="shared" si="1"/>
        <v>512.18792531902398</v>
      </c>
      <c r="F21" s="30">
        <f t="shared" si="1"/>
        <v>309.15451639060382</v>
      </c>
      <c r="G21" s="114"/>
      <c r="H21" s="30"/>
      <c r="I21" s="30"/>
      <c r="J21" s="30"/>
      <c r="K21" s="40"/>
      <c r="L21" s="114">
        <f t="shared" si="1"/>
        <v>294.00578973093735</v>
      </c>
      <c r="M21" s="30">
        <f t="shared" si="1"/>
        <v>307.77322143261404</v>
      </c>
      <c r="N21" s="30">
        <f t="shared" si="1"/>
        <v>300.42749925750326</v>
      </c>
      <c r="O21" s="30">
        <f t="shared" si="1"/>
        <v>512.18792531902398</v>
      </c>
      <c r="P21" s="40">
        <f t="shared" si="1"/>
        <v>309.15451639060382</v>
      </c>
    </row>
    <row r="22" spans="1:19">
      <c r="A22" s="383"/>
      <c r="B22" s="114"/>
      <c r="C22" s="30"/>
      <c r="D22" s="30"/>
      <c r="E22" s="30"/>
      <c r="F22" s="30"/>
      <c r="G22" s="114"/>
      <c r="H22" s="30"/>
      <c r="I22" s="30"/>
      <c r="J22" s="30"/>
      <c r="K22" s="40"/>
      <c r="L22" s="114"/>
      <c r="M22" s="30"/>
      <c r="N22" s="30"/>
      <c r="O22" s="30"/>
      <c r="P22" s="40"/>
    </row>
    <row r="23" spans="1:19">
      <c r="A23" s="117" t="s">
        <v>35</v>
      </c>
      <c r="B23" s="114">
        <f t="shared" ref="B23:P23" si="2">SUM(B19:B21)</f>
        <v>1333.0304687292239</v>
      </c>
      <c r="C23" s="30">
        <f t="shared" si="2"/>
        <v>3153.7723927580464</v>
      </c>
      <c r="D23" s="30">
        <f t="shared" si="2"/>
        <v>8794.4154902299688</v>
      </c>
      <c r="E23" s="30">
        <f t="shared" si="2"/>
        <v>15641.426484603633</v>
      </c>
      <c r="F23" s="30">
        <f t="shared" si="2"/>
        <v>4129.0949083539881</v>
      </c>
      <c r="G23" s="114"/>
      <c r="H23" s="30"/>
      <c r="I23" s="30"/>
      <c r="J23" s="30"/>
      <c r="K23" s="40"/>
      <c r="L23" s="114">
        <f t="shared" si="2"/>
        <v>1333.0304687292239</v>
      </c>
      <c r="M23" s="30">
        <f t="shared" si="2"/>
        <v>3153.7723927580464</v>
      </c>
      <c r="N23" s="30">
        <f t="shared" si="2"/>
        <v>8794.4154902299688</v>
      </c>
      <c r="O23" s="30">
        <f t="shared" si="2"/>
        <v>15641.426484603633</v>
      </c>
      <c r="P23" s="40">
        <f t="shared" si="2"/>
        <v>4129.0949083539881</v>
      </c>
    </row>
    <row r="24" spans="1:19">
      <c r="A24" s="382"/>
      <c r="B24" s="38"/>
      <c r="C24" s="68"/>
      <c r="D24" s="68"/>
      <c r="E24" s="68"/>
      <c r="F24" s="68"/>
      <c r="G24" s="38"/>
      <c r="H24" s="68"/>
      <c r="I24" s="68"/>
      <c r="J24" s="68"/>
      <c r="K24" s="286"/>
      <c r="L24" s="38"/>
      <c r="M24" s="68"/>
      <c r="N24" s="68"/>
      <c r="O24" s="68"/>
      <c r="P24" s="286"/>
    </row>
    <row r="25" spans="1:19">
      <c r="A25" s="384" t="str">
        <f>'Resid TSM Sum by Rate Schedule'!A25</f>
        <v>Annualized Transformer Cost at 8.05%</v>
      </c>
      <c r="B25" s="119">
        <f>B19*Inputs!$C$5</f>
        <v>53.676559124280239</v>
      </c>
      <c r="C25" s="73">
        <f>C19*Inputs!$C$5</f>
        <v>185.08429234943264</v>
      </c>
      <c r="D25" s="73">
        <f>D19*Inputs!$C$5</f>
        <v>629.31416696222959</v>
      </c>
      <c r="E25" s="73">
        <f>E19*Inputs!$C$5</f>
        <v>1085.6937228453423</v>
      </c>
      <c r="F25" s="73">
        <f>F19*Inputs!$C$5</f>
        <v>262.31743418432649</v>
      </c>
      <c r="G25" s="119"/>
      <c r="H25" s="73"/>
      <c r="I25" s="73"/>
      <c r="J25" s="73"/>
      <c r="K25" s="75"/>
      <c r="L25" s="119">
        <f>L19*Inputs!$C$5</f>
        <v>53.676559124280239</v>
      </c>
      <c r="M25" s="73">
        <f>M19*Inputs!$C$5</f>
        <v>185.08429234943264</v>
      </c>
      <c r="N25" s="73">
        <f>N19*Inputs!$C$5</f>
        <v>629.31416696222959</v>
      </c>
      <c r="O25" s="73">
        <f>O19*Inputs!$C$5</f>
        <v>1085.6937228453423</v>
      </c>
      <c r="P25" s="75">
        <f>P19*Inputs!$C$5</f>
        <v>262.31743418432649</v>
      </c>
    </row>
    <row r="26" spans="1:19">
      <c r="A26" s="384" t="str">
        <f>'Resid TSM Sum by Rate Schedule'!A26</f>
        <v>Annualized Services Cost at 7.08%</v>
      </c>
      <c r="B26" s="119">
        <f>B20*Inputs!$C$6</f>
        <v>26.332451133445122</v>
      </c>
      <c r="C26" s="73">
        <f>C20*Inputs!$C$6</f>
        <v>38.657750239133698</v>
      </c>
      <c r="D26" s="73">
        <f>D20*Inputs!$C$6</f>
        <v>47.727021005356185</v>
      </c>
      <c r="E26" s="73">
        <f>E20*Inputs!$C$6</f>
        <v>115.98505083038394</v>
      </c>
      <c r="F26" s="73">
        <f>F20*Inputs!$C$6</f>
        <v>39.667635130652627</v>
      </c>
      <c r="G26" s="119"/>
      <c r="H26" s="73"/>
      <c r="I26" s="73"/>
      <c r="J26" s="73"/>
      <c r="K26" s="75"/>
      <c r="L26" s="119">
        <f>L20*Inputs!$C$6</f>
        <v>26.332451133445122</v>
      </c>
      <c r="M26" s="73">
        <f>M20*Inputs!$C$6</f>
        <v>38.657750239133698</v>
      </c>
      <c r="N26" s="73">
        <f>N20*Inputs!$C$6</f>
        <v>47.727021005356185</v>
      </c>
      <c r="O26" s="73">
        <f>O20*Inputs!$C$6</f>
        <v>115.98505083038394</v>
      </c>
      <c r="P26" s="75">
        <f>P20*Inputs!$C$6</f>
        <v>39.667635130652627</v>
      </c>
    </row>
    <row r="27" spans="1:19" ht="15">
      <c r="A27" s="384" t="str">
        <f>'Resid TSM Sum by Rate Schedule'!A27</f>
        <v>Annualized Meter Cost at 10.78%</v>
      </c>
      <c r="B27" s="465">
        <f>B21*Inputs!$C$7</f>
        <v>31.68396004661388</v>
      </c>
      <c r="C27" s="464">
        <f>C21*Inputs!$C$7</f>
        <v>33.167627277723881</v>
      </c>
      <c r="D27" s="464">
        <f>D21*Inputs!$C$7</f>
        <v>32.376004881026418</v>
      </c>
      <c r="E27" s="464">
        <f>E21*Inputs!$C$7</f>
        <v>55.196674109776453</v>
      </c>
      <c r="F27" s="464">
        <f>F21*Inputs!$C$7</f>
        <v>33.316484530846651</v>
      </c>
      <c r="G27" s="465"/>
      <c r="H27" s="464"/>
      <c r="I27" s="464"/>
      <c r="J27" s="464"/>
      <c r="K27" s="463"/>
      <c r="L27" s="465">
        <f>L21*Inputs!$C$7</f>
        <v>31.68396004661388</v>
      </c>
      <c r="M27" s="464">
        <f>M21*Inputs!$C$7</f>
        <v>33.167627277723881</v>
      </c>
      <c r="N27" s="464">
        <f>N21*Inputs!$C$7</f>
        <v>32.376004881026418</v>
      </c>
      <c r="O27" s="464">
        <f>O21*Inputs!$C$7</f>
        <v>55.196674109776453</v>
      </c>
      <c r="P27" s="463">
        <f>P21*Inputs!$C$7</f>
        <v>33.316484530846651</v>
      </c>
    </row>
    <row r="28" spans="1:19">
      <c r="A28" s="459" t="s">
        <v>312</v>
      </c>
      <c r="B28" s="467">
        <f t="shared" ref="B28:F28" si="3">SUM(B25:B27)</f>
        <v>111.69297030433924</v>
      </c>
      <c r="C28" s="466">
        <f t="shared" si="3"/>
        <v>256.90966986629019</v>
      </c>
      <c r="D28" s="466">
        <f t="shared" si="3"/>
        <v>709.41719284861222</v>
      </c>
      <c r="E28" s="466">
        <f t="shared" si="3"/>
        <v>1256.8754477855027</v>
      </c>
      <c r="F28" s="466">
        <f t="shared" si="3"/>
        <v>335.30155384582577</v>
      </c>
      <c r="G28" s="467"/>
      <c r="H28" s="466"/>
      <c r="I28" s="466"/>
      <c r="J28" s="466"/>
      <c r="K28" s="468"/>
      <c r="L28" s="467">
        <f t="shared" ref="L28:P28" si="4">SUM(L25:L27)</f>
        <v>111.69297030433924</v>
      </c>
      <c r="M28" s="466">
        <f t="shared" si="4"/>
        <v>256.90966986629019</v>
      </c>
      <c r="N28" s="466">
        <f t="shared" si="4"/>
        <v>709.41719284861222</v>
      </c>
      <c r="O28" s="466">
        <f t="shared" si="4"/>
        <v>1256.8754477855027</v>
      </c>
      <c r="P28" s="468">
        <f t="shared" si="4"/>
        <v>335.30155384582577</v>
      </c>
      <c r="S28" s="398"/>
    </row>
    <row r="29" spans="1:19">
      <c r="A29" s="383"/>
      <c r="B29" s="47"/>
      <c r="C29" s="69"/>
      <c r="D29" s="69"/>
      <c r="E29" s="69"/>
      <c r="F29" s="69"/>
      <c r="G29" s="47"/>
      <c r="H29" s="69"/>
      <c r="I29" s="69"/>
      <c r="J29" s="69"/>
      <c r="K29" s="287"/>
      <c r="L29" s="47"/>
      <c r="M29" s="69"/>
      <c r="N29" s="69"/>
      <c r="O29" s="69"/>
      <c r="P29" s="287"/>
    </row>
    <row r="30" spans="1:19">
      <c r="A30" s="36" t="s">
        <v>50</v>
      </c>
      <c r="B30" s="111">
        <f>'Small Comm TSM Summary'!B$30*Inputs!$C$13</f>
        <v>128.40740668380914</v>
      </c>
      <c r="C30" s="33">
        <f>'Small Comm TSM Summary'!C$30*Inputs!$C$13</f>
        <v>128.40740668380914</v>
      </c>
      <c r="D30" s="33">
        <f>'Small Comm TSM Summary'!D$30*Inputs!$C$13</f>
        <v>131.79715661678853</v>
      </c>
      <c r="E30" s="33">
        <f>'Small Comm TSM Summary'!E$30*Inputs!$C$13</f>
        <v>128.40740668380914</v>
      </c>
      <c r="F30" s="33">
        <f>'Small Comm TSM Summary'!F$30*Inputs!$C$13</f>
        <v>129.03377351925099</v>
      </c>
      <c r="G30" s="111"/>
      <c r="H30" s="33"/>
      <c r="I30" s="33"/>
      <c r="J30" s="33"/>
      <c r="K30" s="34"/>
      <c r="L30" s="111">
        <f>'Small Comm TSM Summary'!L$30*Inputs!$C$13</f>
        <v>128.40740668380914</v>
      </c>
      <c r="M30" s="33">
        <f>'Small Comm TSM Summary'!M$30*Inputs!$C$13</f>
        <v>128.40740668380914</v>
      </c>
      <c r="N30" s="33">
        <f>'Small Comm TSM Summary'!N$30*Inputs!$C$13</f>
        <v>131.79715661678853</v>
      </c>
      <c r="O30" s="33">
        <f>'Small Comm TSM Summary'!O$30*Inputs!$C$13</f>
        <v>128.40740668380914</v>
      </c>
      <c r="P30" s="34">
        <f>'Small Comm TSM Summary'!P$30*Inputs!$C$13</f>
        <v>129.03377351925099</v>
      </c>
    </row>
    <row r="31" spans="1:19" ht="15">
      <c r="A31" s="36" t="s">
        <v>379</v>
      </c>
      <c r="B31" s="552">
        <f>-Inputs!$C$18</f>
        <v>-3.0284021924274875</v>
      </c>
      <c r="C31" s="551">
        <f>-Inputs!$C$18</f>
        <v>-3.0284021924274875</v>
      </c>
      <c r="D31" s="551">
        <f>-Inputs!$C$18</f>
        <v>-3.0284021924274875</v>
      </c>
      <c r="E31" s="551">
        <f>-Inputs!$C$18</f>
        <v>-3.0284021924274875</v>
      </c>
      <c r="F31" s="551">
        <f>-Inputs!$C$18</f>
        <v>-3.0284021924274875</v>
      </c>
      <c r="G31" s="552"/>
      <c r="H31" s="551"/>
      <c r="I31" s="551"/>
      <c r="J31" s="551"/>
      <c r="K31" s="553"/>
      <c r="L31" s="552">
        <f>-Inputs!$C$18</f>
        <v>-3.0284021924274875</v>
      </c>
      <c r="M31" s="551">
        <f>-Inputs!$C$18</f>
        <v>-3.0284021924274875</v>
      </c>
      <c r="N31" s="551">
        <f>-Inputs!$C$18</f>
        <v>-3.0284021924274875</v>
      </c>
      <c r="O31" s="551">
        <f>-Inputs!$C$18</f>
        <v>-3.0284021924274875</v>
      </c>
      <c r="P31" s="553">
        <f>-Inputs!$C$18</f>
        <v>-3.0284021924274875</v>
      </c>
    </row>
    <row r="32" spans="1:19">
      <c r="A32" s="36" t="s">
        <v>377</v>
      </c>
      <c r="B32" s="111">
        <f>B30+B31</f>
        <v>125.37900449138165</v>
      </c>
      <c r="C32" s="33">
        <f t="shared" ref="C32:P32" si="5">C30+C31</f>
        <v>125.37900449138165</v>
      </c>
      <c r="D32" s="33">
        <f t="shared" si="5"/>
        <v>128.76875442436105</v>
      </c>
      <c r="E32" s="33">
        <f t="shared" si="5"/>
        <v>125.37900449138165</v>
      </c>
      <c r="F32" s="33">
        <f t="shared" si="5"/>
        <v>126.00537132682349</v>
      </c>
      <c r="G32" s="111"/>
      <c r="H32" s="33"/>
      <c r="I32" s="33"/>
      <c r="J32" s="33"/>
      <c r="K32" s="34"/>
      <c r="L32" s="111">
        <f t="shared" si="5"/>
        <v>125.37900449138165</v>
      </c>
      <c r="M32" s="33">
        <f t="shared" si="5"/>
        <v>125.37900449138165</v>
      </c>
      <c r="N32" s="33">
        <f t="shared" si="5"/>
        <v>128.76875442436105</v>
      </c>
      <c r="O32" s="33">
        <f t="shared" si="5"/>
        <v>125.37900449138165</v>
      </c>
      <c r="P32" s="34">
        <f t="shared" si="5"/>
        <v>126.00537132682349</v>
      </c>
      <c r="S32" s="398"/>
    </row>
    <row r="33" spans="1:19">
      <c r="A33" s="118"/>
      <c r="B33" s="111"/>
      <c r="C33" s="33"/>
      <c r="D33" s="33"/>
      <c r="E33" s="33"/>
      <c r="F33" s="33"/>
      <c r="G33" s="111"/>
      <c r="H33" s="33"/>
      <c r="I33" s="33"/>
      <c r="J33" s="33"/>
      <c r="K33" s="34"/>
      <c r="L33" s="111"/>
      <c r="M33" s="33"/>
      <c r="N33" s="33"/>
      <c r="O33" s="33"/>
      <c r="P33" s="34"/>
      <c r="S33" s="398"/>
    </row>
    <row r="34" spans="1:19">
      <c r="A34" s="117" t="s">
        <v>57</v>
      </c>
      <c r="B34" s="111">
        <f>'Small Comm TSM Summary'!B32*Inputs!$C$14</f>
        <v>56.488244546548479</v>
      </c>
      <c r="C34" s="33">
        <f>'Small Comm TSM Summary'!C32*Inputs!$C$14</f>
        <v>56.488244546548479</v>
      </c>
      <c r="D34" s="33">
        <f>'Small Comm TSM Summary'!D32*Inputs!$C$14</f>
        <v>56.488244546548479</v>
      </c>
      <c r="E34" s="33">
        <f>'Small Comm TSM Summary'!E32*Inputs!$C$14</f>
        <v>56.488244546548479</v>
      </c>
      <c r="F34" s="33">
        <f>'Small Comm TSM Summary'!F32*Inputs!$C$14</f>
        <v>56.488244546548472</v>
      </c>
      <c r="G34" s="111"/>
      <c r="H34" s="33"/>
      <c r="I34" s="33"/>
      <c r="J34" s="33"/>
      <c r="K34" s="34"/>
      <c r="L34" s="111">
        <f>'Small Comm TSM Summary'!L32*Inputs!$C$14</f>
        <v>56.488244546548479</v>
      </c>
      <c r="M34" s="33">
        <f>'Small Comm TSM Summary'!M32*Inputs!$C$14</f>
        <v>56.488244546548479</v>
      </c>
      <c r="N34" s="33">
        <f>'Small Comm TSM Summary'!N32*Inputs!$C$14</f>
        <v>56.488244546548479</v>
      </c>
      <c r="O34" s="33">
        <f>'Small Comm TSM Summary'!O32*Inputs!$C$14</f>
        <v>56.488244546548479</v>
      </c>
      <c r="P34" s="34">
        <f>'Small Comm TSM Summary'!P32*Inputs!$C$14</f>
        <v>56.488244546548472</v>
      </c>
      <c r="S34" s="398"/>
    </row>
    <row r="35" spans="1:19">
      <c r="A35" s="118"/>
      <c r="B35" s="11"/>
      <c r="C35" s="12"/>
      <c r="D35" s="12"/>
      <c r="E35" s="12"/>
      <c r="F35" s="12"/>
      <c r="G35" s="11"/>
      <c r="H35" s="12"/>
      <c r="I35" s="12"/>
      <c r="J35" s="12"/>
      <c r="K35" s="76"/>
      <c r="L35" s="11"/>
      <c r="M35" s="12"/>
      <c r="N35" s="12"/>
      <c r="O35" s="12"/>
      <c r="P35" s="76"/>
      <c r="S35" s="398"/>
    </row>
    <row r="36" spans="1:19" ht="13.5" thickBot="1">
      <c r="A36" s="460" t="s">
        <v>86</v>
      </c>
      <c r="B36" s="288">
        <f t="shared" ref="B36:P36" si="6">B28+B32+B34</f>
        <v>293.56021934226936</v>
      </c>
      <c r="C36" s="289">
        <f t="shared" si="6"/>
        <v>438.77691890422028</v>
      </c>
      <c r="D36" s="289">
        <f t="shared" si="6"/>
        <v>894.67419181952175</v>
      </c>
      <c r="E36" s="289">
        <f t="shared" si="6"/>
        <v>1438.7426968234329</v>
      </c>
      <c r="F36" s="289">
        <f t="shared" si="6"/>
        <v>517.7951697191977</v>
      </c>
      <c r="G36" s="288"/>
      <c r="H36" s="289"/>
      <c r="I36" s="289"/>
      <c r="J36" s="289"/>
      <c r="K36" s="290"/>
      <c r="L36" s="288">
        <f t="shared" si="6"/>
        <v>293.56021934226936</v>
      </c>
      <c r="M36" s="289">
        <f t="shared" si="6"/>
        <v>438.77691890422028</v>
      </c>
      <c r="N36" s="289">
        <f t="shared" si="6"/>
        <v>894.67419181952175</v>
      </c>
      <c r="O36" s="289">
        <f t="shared" si="6"/>
        <v>1438.7426968234329</v>
      </c>
      <c r="P36" s="290">
        <f t="shared" si="6"/>
        <v>517.7951697191977</v>
      </c>
      <c r="S36" s="398"/>
    </row>
    <row r="37" spans="1:19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</row>
    <row r="39" spans="1:19"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9">
      <c r="A40" t="s">
        <v>3</v>
      </c>
      <c r="B40" s="31"/>
    </row>
    <row r="41" spans="1:19">
      <c r="B41" s="31"/>
    </row>
    <row r="42" spans="1:19">
      <c r="B42" s="31"/>
    </row>
    <row r="43" spans="1:19">
      <c r="B43" s="31"/>
    </row>
    <row r="44" spans="1:19">
      <c r="B44" s="31"/>
    </row>
    <row r="45" spans="1:19">
      <c r="B45" s="31"/>
    </row>
    <row r="48" spans="1:19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</row>
    <row r="60" spans="1:11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77">
    <tabColor rgb="FF00642D"/>
  </sheetPr>
  <dimension ref="A1:AC62"/>
  <sheetViews>
    <sheetView zoomScaleNormal="100" workbookViewId="0">
      <selection activeCell="B7" sqref="B7"/>
    </sheetView>
  </sheetViews>
  <sheetFormatPr defaultRowHeight="12.75"/>
  <cols>
    <col min="1" max="1" width="39" customWidth="1"/>
    <col min="2" max="2" width="12.85546875" bestFit="1" customWidth="1"/>
    <col min="3" max="4" width="11.28515625" bestFit="1" customWidth="1"/>
    <col min="5" max="6" width="12.85546875" bestFit="1" customWidth="1"/>
    <col min="7" max="8" width="11.28515625" bestFit="1" customWidth="1"/>
    <col min="9" max="9" width="12.85546875" bestFit="1" customWidth="1"/>
    <col min="10" max="10" width="12.85546875" customWidth="1"/>
    <col min="11" max="11" width="12.28515625" customWidth="1"/>
    <col min="12" max="12" width="12.28515625" bestFit="1" customWidth="1"/>
    <col min="13" max="13" width="11.28515625" bestFit="1" customWidth="1"/>
    <col min="14" max="14" width="12.85546875" customWidth="1"/>
    <col min="15" max="16" width="11.28515625" bestFit="1" customWidth="1"/>
    <col min="17" max="18" width="12.85546875" bestFit="1" customWidth="1"/>
    <col min="19" max="21" width="11.28515625" bestFit="1" customWidth="1"/>
    <col min="22" max="23" width="12.85546875" bestFit="1" customWidth="1"/>
    <col min="24" max="25" width="10.28515625" customWidth="1"/>
    <col min="26" max="29" width="13.85546875" customWidth="1"/>
  </cols>
  <sheetData>
    <row r="1" spans="1:29" ht="18.75" thickBot="1">
      <c r="A1" s="756" t="s">
        <v>344</v>
      </c>
      <c r="B1" s="756"/>
      <c r="C1" s="756"/>
      <c r="D1" s="756"/>
      <c r="E1" s="756"/>
      <c r="F1" s="756"/>
      <c r="G1" s="756"/>
      <c r="H1" s="756"/>
      <c r="I1" s="756"/>
      <c r="J1" s="756"/>
      <c r="K1" s="756"/>
      <c r="L1" s="756"/>
      <c r="M1" s="756"/>
      <c r="N1" s="756"/>
      <c r="O1" s="756"/>
      <c r="P1" s="756"/>
      <c r="Q1" s="756"/>
      <c r="R1" s="756"/>
      <c r="S1" s="756"/>
      <c r="T1" s="756"/>
      <c r="U1" s="756"/>
      <c r="V1" s="756"/>
      <c r="W1" s="756"/>
      <c r="X1" s="756"/>
      <c r="Y1" s="756"/>
    </row>
    <row r="2" spans="1:29" ht="13.5" thickBot="1">
      <c r="A2" s="103"/>
      <c r="B2" s="749" t="s">
        <v>117</v>
      </c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50"/>
      <c r="S2" s="750"/>
      <c r="T2" s="750"/>
      <c r="U2" s="752"/>
      <c r="V2" s="749" t="s">
        <v>118</v>
      </c>
      <c r="W2" s="750"/>
      <c r="X2" s="750"/>
      <c r="Y2" s="752"/>
      <c r="Z2" s="749" t="s">
        <v>345</v>
      </c>
      <c r="AA2" s="750"/>
      <c r="AB2" s="750"/>
      <c r="AC2" s="752"/>
    </row>
    <row r="3" spans="1:29">
      <c r="A3" s="163"/>
      <c r="B3" s="757" t="s">
        <v>113</v>
      </c>
      <c r="C3" s="758"/>
      <c r="D3" s="758"/>
      <c r="E3" s="759"/>
      <c r="F3" s="757" t="s">
        <v>100</v>
      </c>
      <c r="G3" s="758"/>
      <c r="H3" s="758"/>
      <c r="I3" s="759"/>
      <c r="J3" s="757" t="s">
        <v>101</v>
      </c>
      <c r="K3" s="758"/>
      <c r="L3" s="758"/>
      <c r="M3" s="759"/>
      <c r="N3" s="757" t="s">
        <v>99</v>
      </c>
      <c r="O3" s="758"/>
      <c r="P3" s="758"/>
      <c r="Q3" s="759"/>
      <c r="R3" s="751" t="s">
        <v>123</v>
      </c>
      <c r="S3" s="758"/>
      <c r="T3" s="758"/>
      <c r="U3" s="759"/>
      <c r="V3" s="503"/>
      <c r="W3" s="504"/>
      <c r="X3" s="504"/>
      <c r="Y3" s="505"/>
      <c r="Z3" s="503"/>
      <c r="AA3" s="504"/>
      <c r="AB3" s="504"/>
      <c r="AC3" s="505"/>
    </row>
    <row r="4" spans="1:29" ht="13.5" thickBot="1">
      <c r="A4" s="77" t="s">
        <v>4</v>
      </c>
      <c r="B4" s="500" t="s">
        <v>36</v>
      </c>
      <c r="C4" s="501" t="s">
        <v>37</v>
      </c>
      <c r="D4" s="501" t="s">
        <v>38</v>
      </c>
      <c r="E4" s="502" t="s">
        <v>41</v>
      </c>
      <c r="F4" s="500" t="s">
        <v>36</v>
      </c>
      <c r="G4" s="501" t="s">
        <v>37</v>
      </c>
      <c r="H4" s="501" t="s">
        <v>38</v>
      </c>
      <c r="I4" s="502" t="s">
        <v>41</v>
      </c>
      <c r="J4" s="500" t="s">
        <v>36</v>
      </c>
      <c r="K4" s="501" t="s">
        <v>37</v>
      </c>
      <c r="L4" s="501" t="s">
        <v>40</v>
      </c>
      <c r="M4" s="502" t="s">
        <v>41</v>
      </c>
      <c r="N4" s="500" t="s">
        <v>36</v>
      </c>
      <c r="O4" s="501" t="s">
        <v>37</v>
      </c>
      <c r="P4" s="501" t="s">
        <v>40</v>
      </c>
      <c r="Q4" s="502" t="s">
        <v>41</v>
      </c>
      <c r="R4" s="500" t="s">
        <v>36</v>
      </c>
      <c r="S4" s="501" t="s">
        <v>37</v>
      </c>
      <c r="T4" s="501" t="s">
        <v>38</v>
      </c>
      <c r="U4" s="502" t="s">
        <v>41</v>
      </c>
      <c r="V4" s="500" t="s">
        <v>36</v>
      </c>
      <c r="W4" s="501" t="s">
        <v>37</v>
      </c>
      <c r="X4" s="501" t="s">
        <v>40</v>
      </c>
      <c r="Y4" s="502" t="s">
        <v>41</v>
      </c>
      <c r="Z4" s="500" t="s">
        <v>36</v>
      </c>
      <c r="AA4" s="501" t="s">
        <v>37</v>
      </c>
      <c r="AB4" s="501" t="s">
        <v>40</v>
      </c>
      <c r="AC4" s="502" t="s">
        <v>41</v>
      </c>
    </row>
    <row r="5" spans="1:29">
      <c r="A5" s="10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04" t="s">
        <v>42</v>
      </c>
      <c r="W5" s="8" t="s">
        <v>42</v>
      </c>
      <c r="X5" s="8" t="s">
        <v>42</v>
      </c>
      <c r="Y5" s="9" t="s">
        <v>43</v>
      </c>
      <c r="Z5" s="104" t="s">
        <v>42</v>
      </c>
      <c r="AA5" s="8" t="s">
        <v>42</v>
      </c>
      <c r="AB5" s="8" t="s">
        <v>42</v>
      </c>
      <c r="AC5" s="9" t="s">
        <v>43</v>
      </c>
    </row>
    <row r="6" spans="1:29">
      <c r="A6" s="84"/>
      <c r="B6" s="109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  <c r="Z6" s="104"/>
      <c r="AA6" s="8"/>
      <c r="AB6" s="8"/>
      <c r="AC6" s="9"/>
    </row>
    <row r="7" spans="1:29">
      <c r="A7" s="124" t="s">
        <v>5</v>
      </c>
      <c r="B7" s="109">
        <f>'Sm Comm Cust Fcst'!$B8*'Non-Residential TSM UC Adj'!B7</f>
        <v>17461.829133932159</v>
      </c>
      <c r="C7" s="23">
        <f>'Sm Comm Cust Fcst'!$B8*'Non-Residential TSM UC Adj'!C7</f>
        <v>6730.0273171596209</v>
      </c>
      <c r="D7" s="23">
        <f>'Sm Comm Cust Fcst'!$B8*'Non-Residential TSM UC Adj'!D7</f>
        <v>13860.51713107883</v>
      </c>
      <c r="E7" s="41">
        <f>IF(SUM(B7:D7)=0,0,SUM(B7:D7)/'Sm Comm Cust Fcst'!B8)</f>
        <v>634.20622636951009</v>
      </c>
      <c r="F7" s="109">
        <f>'Sm Comm Cust Fcst'!$C8*'Non-Residential TSM UC Adj'!F7</f>
        <v>1008.4093280282156</v>
      </c>
      <c r="G7" s="23">
        <f>'Sm Comm Cust Fcst'!$C8*'Non-Residential TSM UC Adj'!G7</f>
        <v>1829.4609753019611</v>
      </c>
      <c r="H7" s="23">
        <f>'Sm Comm Cust Fcst'!$C8*'Non-Residential TSM UC Adj'!H7</f>
        <v>891.05057186652277</v>
      </c>
      <c r="I7" s="41">
        <f>IF(SUM(F7:H7)=0,0,SUM(F7:H7)/'Sm Comm Cust Fcst'!C8)</f>
        <v>1242.9736250655665</v>
      </c>
      <c r="J7" s="109">
        <f>'Sm Comm Cust Fcst'!$D8*'Non-Residential TSM UC Adj'!J7</f>
        <v>8129.0186245253408</v>
      </c>
      <c r="K7" s="23">
        <f>'Sm Comm Cust Fcst'!$D8*'Non-Residential TSM UC Adj'!K7</f>
        <v>14025.867477315034</v>
      </c>
      <c r="L7" s="23">
        <f>'Sm Comm Cust Fcst'!$D8*'Non-Residential TSM UC Adj'!L7</f>
        <v>6831.3877176433416</v>
      </c>
      <c r="M7" s="41">
        <f>IF(SUM(J7:L7)=0,0,SUM(J7:L7)/'Sm Comm Cust Fcst'!D8)</f>
        <v>1260.2727747601616</v>
      </c>
      <c r="N7" s="109">
        <f>'Sm Comm Cust Fcst'!$E8*'Non-Residential TSM UC Adj'!N7</f>
        <v>2501.4835067759373</v>
      </c>
      <c r="O7" s="23">
        <f>'Sm Comm Cust Fcst'!$E8*'Non-Residential TSM UC Adj'!O7</f>
        <v>3658.9219506039221</v>
      </c>
      <c r="P7" s="23">
        <f>'Sm Comm Cust Fcst'!$E8*'Non-Residential TSM UC Adj'!P7</f>
        <v>1782.1011437330455</v>
      </c>
      <c r="Q7" s="41">
        <f>IF(SUM(N7:P7)=0,0,SUM(N7:P7)/'Sm Comm Cust Fcst'!E8)</f>
        <v>1323.7511001854841</v>
      </c>
      <c r="R7" s="109">
        <f>B7+F7+J7+N7</f>
        <v>29100.740593261649</v>
      </c>
      <c r="S7" s="23">
        <f t="shared" ref="S7:T23" si="0">C7+G7+K7+O7</f>
        <v>26244.277720380538</v>
      </c>
      <c r="T7" s="23">
        <f t="shared" si="0"/>
        <v>23365.056564321741</v>
      </c>
      <c r="U7" s="41">
        <f>IF(SUM(R7:T7)=0,0,SUM(R7:T7)/'Sm Comm Cust Fcst'!F8)</f>
        <v>855.54429215178175</v>
      </c>
      <c r="V7" s="109">
        <f>'Sm Comm Cust Fcst'!$G8*'Non-Residential TSM UC Adj'!R7</f>
        <v>0</v>
      </c>
      <c r="W7" s="23">
        <f>'Sm Comm Cust Fcst'!$G8*'Non-Residential TSM UC Adj'!S7</f>
        <v>0</v>
      </c>
      <c r="X7" s="23">
        <f>'Sm Comm Cust Fcst'!$G8*'Non-Residential TSM UC Adj'!T7</f>
        <v>0</v>
      </c>
      <c r="Y7" s="41">
        <f>IF(SUM(V7:X7)=0,0,SUM(V7:X7)/'Sm Comm Cust Fcst'!G8)</f>
        <v>0</v>
      </c>
      <c r="Z7" s="109">
        <f>R7+V7</f>
        <v>29100.740593261649</v>
      </c>
      <c r="AA7" s="23">
        <f t="shared" ref="AA7:AB23" si="1">S7+W7</f>
        <v>26244.277720380538</v>
      </c>
      <c r="AB7" s="23">
        <f t="shared" si="1"/>
        <v>23365.056564321741</v>
      </c>
      <c r="AC7" s="41">
        <f>IF(SUM(Z7:AB7)=0,0,SUM(Z7:AB7)/'Sm Comm Cust Fcst'!H8)</f>
        <v>855.54429215178175</v>
      </c>
    </row>
    <row r="8" spans="1:29">
      <c r="A8" s="377" t="s">
        <v>201</v>
      </c>
      <c r="B8" s="109">
        <f>'Sm Comm Cust Fcst'!$B9*'Non-Residential TSM UC Adj'!B8</f>
        <v>23573.469330808413</v>
      </c>
      <c r="C8" s="23">
        <f>'Sm Comm Cust Fcst'!$B9*'Non-Residential TSM UC Adj'!C8</f>
        <v>3028.5122927218295</v>
      </c>
      <c r="D8" s="23">
        <f>'Sm Comm Cust Fcst'!$B9*'Non-Residential TSM UC Adj'!D8</f>
        <v>6237.2327089854734</v>
      </c>
      <c r="E8" s="41">
        <f>IF(SUM(B8:D8)=0,0,SUM(B8:D8)/'Sm Comm Cust Fcst'!B9)</f>
        <v>1216.2671975005821</v>
      </c>
      <c r="F8" s="109">
        <f>'Sm Comm Cust Fcst'!$C9*'Non-Residential TSM UC Adj'!F8</f>
        <v>0</v>
      </c>
      <c r="G8" s="23">
        <f>'Sm Comm Cust Fcst'!$C9*'Non-Residential TSM UC Adj'!G8</f>
        <v>0</v>
      </c>
      <c r="H8" s="23">
        <f>'Sm Comm Cust Fcst'!$C9*'Non-Residential TSM UC Adj'!H8</f>
        <v>0</v>
      </c>
      <c r="I8" s="41">
        <f>IF(SUM(F8:H8)=0,0,SUM(F8:H8)/'Sm Comm Cust Fcst'!C9)</f>
        <v>0</v>
      </c>
      <c r="J8" s="109">
        <f>'Sm Comm Cust Fcst'!$D9*'Non-Residential TSM UC Adj'!J8</f>
        <v>31809.203313360034</v>
      </c>
      <c r="K8" s="23">
        <f>'Sm Comm Cust Fcst'!$D9*'Non-Residential TSM UC Adj'!K8</f>
        <v>18294.609753019609</v>
      </c>
      <c r="L8" s="23">
        <f>'Sm Comm Cust Fcst'!$D9*'Non-Residential TSM UC Adj'!L8</f>
        <v>8910.5057186652284</v>
      </c>
      <c r="M8" s="41">
        <f>IF(SUM(J8:L8)=0,0,SUM(J8:L8)/'Sm Comm Cust Fcst'!D9)</f>
        <v>1967.1439595014958</v>
      </c>
      <c r="N8" s="109">
        <f>'Sm Comm Cust Fcst'!$E9*'Non-Residential TSM UC Adj'!N8</f>
        <v>6253.7087669398434</v>
      </c>
      <c r="O8" s="23">
        <f>'Sm Comm Cust Fcst'!$E9*'Non-Residential TSM UC Adj'!O8</f>
        <v>3049.1016255032682</v>
      </c>
      <c r="P8" s="23">
        <f>'Sm Comm Cust Fcst'!$E9*'Non-Residential TSM UC Adj'!P8</f>
        <v>1485.0842864442047</v>
      </c>
      <c r="Q8" s="41">
        <f>IF(SUM(N8:P8)=0,0,SUM(N8:P8)/'Sm Comm Cust Fcst'!E9)</f>
        <v>2157.5789357774638</v>
      </c>
      <c r="R8" s="109">
        <f>B8+F8+J8+N8</f>
        <v>61636.38141110829</v>
      </c>
      <c r="S8" s="23">
        <f>C8+G8+K8+O8</f>
        <v>24372.223671244705</v>
      </c>
      <c r="T8" s="23">
        <f>D8+H8+L8+P8</f>
        <v>16632.822714094906</v>
      </c>
      <c r="U8" s="41">
        <f>IF(SUM(R8:T8)=0,0,SUM(R8:T8)/'Sm Comm Cust Fcst'!F9)</f>
        <v>1655.5068999427081</v>
      </c>
      <c r="V8" s="109">
        <f>'Sm Comm Cust Fcst'!$G9*'Non-Residential TSM UC Adj'!R8</f>
        <v>0</v>
      </c>
      <c r="W8" s="23">
        <f>'Sm Comm Cust Fcst'!$G9*'Non-Residential TSM UC Adj'!S8</f>
        <v>0</v>
      </c>
      <c r="X8" s="23">
        <f>'Sm Comm Cust Fcst'!$G9*'Non-Residential TSM UC Adj'!T8</f>
        <v>0</v>
      </c>
      <c r="Y8" s="41">
        <f>IF(SUM(V8:X8)=0,0,SUM(V8:X8)/'Sm Comm Cust Fcst'!G9)</f>
        <v>0</v>
      </c>
      <c r="Z8" s="109">
        <f>R8+V8</f>
        <v>61636.38141110829</v>
      </c>
      <c r="AA8" s="23">
        <f>S8+W8</f>
        <v>24372.223671244705</v>
      </c>
      <c r="AB8" s="23">
        <f>T8+X8</f>
        <v>16632.822714094906</v>
      </c>
      <c r="AC8" s="41">
        <f>IF(SUM(Z8:AB8)=0,0,SUM(Z8:AB8)/'Sm Comm Cust Fcst'!H9)</f>
        <v>1655.5068999427081</v>
      </c>
    </row>
    <row r="9" spans="1:29">
      <c r="A9" s="377" t="s">
        <v>202</v>
      </c>
      <c r="B9" s="109">
        <f>'Sm Comm Cust Fcst'!$B10*'Non-Residential TSM UC Adj'!B8</f>
        <v>24446.560787505023</v>
      </c>
      <c r="C9" s="23">
        <f>'Sm Comm Cust Fcst'!$B10*'Non-Residential TSM UC Adj'!C8</f>
        <v>3140.6794146744896</v>
      </c>
      <c r="D9" s="23">
        <f>'Sm Comm Cust Fcst'!$B10*'Non-Residential TSM UC Adj'!D8</f>
        <v>6468.2413278367876</v>
      </c>
      <c r="E9" s="41">
        <f>IF(SUM(B9:D9)=0,0,SUM(B9:D9)/'Sm Comm Cust Fcst'!B10)</f>
        <v>1216.2671975005821</v>
      </c>
      <c r="F9" s="109">
        <f>'Sm Comm Cust Fcst'!$C10*'Non-Residential TSM UC Adj'!F8</f>
        <v>4033.6373121128622</v>
      </c>
      <c r="G9" s="23">
        <f>'Sm Comm Cust Fcst'!$C10*'Non-Residential TSM UC Adj'!G8</f>
        <v>2439.2813004026148</v>
      </c>
      <c r="H9" s="23">
        <f>'Sm Comm Cust Fcst'!$C10*'Non-Residential TSM UC Adj'!H8</f>
        <v>1188.0674291553637</v>
      </c>
      <c r="I9" s="41">
        <f>IF(SUM(F9:H9)=0,0,SUM(F9:H9)/'Sm Comm Cust Fcst'!C10)</f>
        <v>1915.2465104177104</v>
      </c>
      <c r="J9" s="109">
        <f>'Sm Comm Cust Fcst'!$D10*'Non-Residential TSM UC Adj'!J8</f>
        <v>67859.63373516807</v>
      </c>
      <c r="K9" s="23">
        <f>'Sm Comm Cust Fcst'!$D10*'Non-Residential TSM UC Adj'!K8</f>
        <v>39028.500806441836</v>
      </c>
      <c r="L9" s="23">
        <f>'Sm Comm Cust Fcst'!$D10*'Non-Residential TSM UC Adj'!L8</f>
        <v>19009.078866485819</v>
      </c>
      <c r="M9" s="41">
        <f>IF(SUM(J9:L9)=0,0,SUM(J9:L9)/'Sm Comm Cust Fcst'!D10)</f>
        <v>1967.1439595014958</v>
      </c>
      <c r="N9" s="109">
        <f>'Sm Comm Cust Fcst'!$E10*'Non-Residential TSM UC Adj'!N8</f>
        <v>0</v>
      </c>
      <c r="O9" s="23">
        <f>'Sm Comm Cust Fcst'!$E10*'Non-Residential TSM UC Adj'!O8</f>
        <v>0</v>
      </c>
      <c r="P9" s="23">
        <f>'Sm Comm Cust Fcst'!$E10*'Non-Residential TSM UC Adj'!P8</f>
        <v>0</v>
      </c>
      <c r="Q9" s="41">
        <f>IF(SUM(N9:P9)=0,0,SUM(N9:P9)/'Sm Comm Cust Fcst'!E10)</f>
        <v>0</v>
      </c>
      <c r="R9" s="109">
        <f t="shared" ref="R9:T38" si="2">B9+F9+J9+N9</f>
        <v>96339.83183478596</v>
      </c>
      <c r="S9" s="23">
        <f t="shared" si="0"/>
        <v>44608.461521518941</v>
      </c>
      <c r="T9" s="23">
        <f t="shared" si="0"/>
        <v>26665.387623477971</v>
      </c>
      <c r="U9" s="41">
        <f>IF(SUM(R9:T9)=0,0,SUM(R9:T9)/'Sm Comm Cust Fcst'!F10)</f>
        <v>1745.9758435394049</v>
      </c>
      <c r="V9" s="109">
        <f>'Sm Comm Cust Fcst'!$G10*'Non-Residential TSM UC Adj'!R8</f>
        <v>0</v>
      </c>
      <c r="W9" s="23">
        <f>'Sm Comm Cust Fcst'!$G10*'Non-Residential TSM UC Adj'!S8</f>
        <v>0</v>
      </c>
      <c r="X9" s="23">
        <f>'Sm Comm Cust Fcst'!$G10*'Non-Residential TSM UC Adj'!T8</f>
        <v>0</v>
      </c>
      <c r="Y9" s="41">
        <f>IF(SUM(V9:X9)=0,0,SUM(V9:X9)/'Sm Comm Cust Fcst'!G10)</f>
        <v>0</v>
      </c>
      <c r="Z9" s="109">
        <f t="shared" ref="Z9:AB38" si="3">R9+V9</f>
        <v>96339.83183478596</v>
      </c>
      <c r="AA9" s="23">
        <f t="shared" si="1"/>
        <v>44608.461521518941</v>
      </c>
      <c r="AB9" s="23">
        <f t="shared" si="1"/>
        <v>26665.387623477971</v>
      </c>
      <c r="AC9" s="41">
        <f>IF(SUM(Z9:AB9)=0,0,SUM(Z9:AB9)/'Sm Comm Cust Fcst'!H10)</f>
        <v>1745.9758435394049</v>
      </c>
    </row>
    <row r="10" spans="1:29">
      <c r="A10" s="126" t="s">
        <v>7</v>
      </c>
      <c r="B10" s="109">
        <f>'Sm Comm Cust Fcst'!$B11*'Non-Residential TSM UC Adj'!B9</f>
        <v>48893.121575010045</v>
      </c>
      <c r="C10" s="23">
        <f>'Sm Comm Cust Fcst'!$B11*'Non-Residential TSM UC Adj'!C9</f>
        <v>8853.8600512013745</v>
      </c>
      <c r="D10" s="23">
        <f>'Sm Comm Cust Fcst'!$B11*'Non-Residential TSM UC Adj'!D9</f>
        <v>12936.482655673575</v>
      </c>
      <c r="E10" s="41">
        <f>IF(SUM(B10:D10)=0,0,SUM(B10:D10)/'Sm Comm Cust Fcst'!B11)</f>
        <v>1262.204719319375</v>
      </c>
      <c r="F10" s="109">
        <f>'Sm Comm Cust Fcst'!$C11*'Non-Residential TSM UC Adj'!F9</f>
        <v>8067.2746242257244</v>
      </c>
      <c r="G10" s="23">
        <f>'Sm Comm Cust Fcst'!$C11*'Non-Residential TSM UC Adj'!G9</f>
        <v>2873.1676764581298</v>
      </c>
      <c r="H10" s="23">
        <f>'Sm Comm Cust Fcst'!$C11*'Non-Residential TSM UC Adj'!H9</f>
        <v>1188.0674291553637</v>
      </c>
      <c r="I10" s="41">
        <f>IF(SUM(F10:H10)=0,0,SUM(F10:H10)/'Sm Comm Cust Fcst'!C11)</f>
        <v>3032.1274324598048</v>
      </c>
      <c r="J10" s="109">
        <f>'Sm Comm Cust Fcst'!$D11*'Non-Residential TSM UC Adj'!J9</f>
        <v>190855.21988016021</v>
      </c>
      <c r="K10" s="23">
        <f>'Sm Comm Cust Fcst'!$D11*'Non-Residential TSM UC Adj'!K9</f>
        <v>64646.272720307919</v>
      </c>
      <c r="L10" s="23">
        <f>'Sm Comm Cust Fcst'!$D11*'Non-Residential TSM UC Adj'!L9</f>
        <v>26731.517155995683</v>
      </c>
      <c r="M10" s="41">
        <f>IF(SUM(J10:L10)=0,0,SUM(J10:L10)/'Sm Comm Cust Fcst'!D11)</f>
        <v>3135.9223306273757</v>
      </c>
      <c r="N10" s="109">
        <f>'Sm Comm Cust Fcst'!$E11*'Non-Residential TSM UC Adj'!N9</f>
        <v>15008.901040655623</v>
      </c>
      <c r="O10" s="23">
        <f>'Sm Comm Cust Fcst'!$E11*'Non-Residential TSM UC Adj'!O9</f>
        <v>4309.7515146871947</v>
      </c>
      <c r="P10" s="23">
        <f>'Sm Comm Cust Fcst'!$E11*'Non-Residential TSM UC Adj'!P9</f>
        <v>1782.1011437330455</v>
      </c>
      <c r="Q10" s="41">
        <f>IF(SUM(N10:P10)=0,0,SUM(N10:P10)/'Sm Comm Cust Fcst'!E11)</f>
        <v>3516.7922831793107</v>
      </c>
      <c r="R10" s="109">
        <f t="shared" si="2"/>
        <v>262824.51712005161</v>
      </c>
      <c r="S10" s="23">
        <f t="shared" si="0"/>
        <v>80683.051962654616</v>
      </c>
      <c r="T10" s="23">
        <f t="shared" si="0"/>
        <v>42638.16838455767</v>
      </c>
      <c r="U10" s="41">
        <f>IF(SUM(R10:T10)=0,0,SUM(R10:T10)/'Sm Comm Cust Fcst'!F11)</f>
        <v>2475.2931888927174</v>
      </c>
      <c r="V10" s="109">
        <f>'Sm Comm Cust Fcst'!$G11*'Non-Residential TSM UC Adj'!R9</f>
        <v>0</v>
      </c>
      <c r="W10" s="23">
        <f>'Sm Comm Cust Fcst'!$G11*'Non-Residential TSM UC Adj'!S9</f>
        <v>0</v>
      </c>
      <c r="X10" s="23">
        <f>'Sm Comm Cust Fcst'!$G11*'Non-Residential TSM UC Adj'!T9</f>
        <v>0</v>
      </c>
      <c r="Y10" s="41">
        <f>IF(SUM(V10:X10)=0,0,SUM(V10:X10)/'Sm Comm Cust Fcst'!G11)</f>
        <v>0</v>
      </c>
      <c r="Z10" s="109">
        <f t="shared" si="3"/>
        <v>262824.51712005161</v>
      </c>
      <c r="AA10" s="23">
        <f t="shared" si="1"/>
        <v>80683.051962654616</v>
      </c>
      <c r="AB10" s="23">
        <f t="shared" si="1"/>
        <v>42638.16838455767</v>
      </c>
      <c r="AC10" s="41">
        <f>IF(SUM(Z10:AB10)=0,0,SUM(Z10:AB10)/'Sm Comm Cust Fcst'!H11)</f>
        <v>2475.2931888927174</v>
      </c>
    </row>
    <row r="11" spans="1:29" s="52" customFormat="1">
      <c r="A11" s="219" t="s">
        <v>110</v>
      </c>
      <c r="B11" s="109">
        <f>'Sm Comm Cust Fcst'!$B12*'Non-Residential TSM UC Adj'!B10</f>
        <v>109136.43208707598</v>
      </c>
      <c r="C11" s="23">
        <f>'Sm Comm Cust Fcst'!$B12*'Non-Residential TSM UC Adj'!C10</f>
        <v>8641.4672889161284</v>
      </c>
      <c r="D11" s="23">
        <f>'Sm Comm Cust Fcst'!$B12*'Non-Residential TSM UC Adj'!D10</f>
        <v>11550.430942565692</v>
      </c>
      <c r="E11" s="41">
        <f>IF(SUM(B11:D11)=0,0,SUM(B11:D11)/'Sm Comm Cust Fcst'!B12)</f>
        <v>2586.566606371156</v>
      </c>
      <c r="F11" s="109">
        <f>'Sm Comm Cust Fcst'!$C12*'Non-Residential TSM UC Adj'!F10</f>
        <v>28235.461184790034</v>
      </c>
      <c r="G11" s="23">
        <f>'Sm Comm Cust Fcst'!$C12*'Non-Residential TSM UC Adj'!G10</f>
        <v>4309.7515146871947</v>
      </c>
      <c r="H11" s="23">
        <f>'Sm Comm Cust Fcst'!$C12*'Non-Residential TSM UC Adj'!H10</f>
        <v>1782.1011437330455</v>
      </c>
      <c r="I11" s="41">
        <f>IF(SUM(F11:H11)=0,0,SUM(F11:H11)/'Sm Comm Cust Fcst'!C12)</f>
        <v>5721.2189738683801</v>
      </c>
      <c r="J11" s="109">
        <f>'Sm Comm Cust Fcst'!$D12*'Non-Residential TSM UC Adj'!J10</f>
        <v>212768.22660714155</v>
      </c>
      <c r="K11" s="23">
        <f>'Sm Comm Cust Fcst'!$D12*'Non-Residential TSM UC Adj'!K10</f>
        <v>30886.552521924896</v>
      </c>
      <c r="L11" s="23">
        <f>'Sm Comm Cust Fcst'!$D12*'Non-Residential TSM UC Adj'!L10</f>
        <v>12771.724863420161</v>
      </c>
      <c r="M11" s="41">
        <f>IF(SUM(J11:L11)=0,0,SUM(J11:L11)/'Sm Comm Cust Fcst'!D12)</f>
        <v>5963.4070695927112</v>
      </c>
      <c r="N11" s="109">
        <f>'Sm Comm Cust Fcst'!$E12*'Non-Residential TSM UC Adj'!N10</f>
        <v>5836.7948491438538</v>
      </c>
      <c r="O11" s="23">
        <f>'Sm Comm Cust Fcst'!$E12*'Non-Residential TSM UC Adj'!O10</f>
        <v>718.29191911453245</v>
      </c>
      <c r="P11" s="23">
        <f>'Sm Comm Cust Fcst'!$E12*'Non-Residential TSM UC Adj'!P10</f>
        <v>297.01685728884092</v>
      </c>
      <c r="Q11" s="41">
        <f>IF(SUM(N11:P11)=0,0,SUM(N11:P11)/'Sm Comm Cust Fcst'!E12)</f>
        <v>6852.1036255472272</v>
      </c>
      <c r="R11" s="109">
        <f t="shared" si="2"/>
        <v>355976.9147281514</v>
      </c>
      <c r="S11" s="23">
        <f t="shared" si="0"/>
        <v>44556.063244642748</v>
      </c>
      <c r="T11" s="23">
        <f t="shared" si="0"/>
        <v>26401.273807007736</v>
      </c>
      <c r="U11" s="41">
        <f>IF(SUM(R11:T11)=0,0,SUM(R11:T11)/'Sm Comm Cust Fcst'!F12)</f>
        <v>4269.3425177980189</v>
      </c>
      <c r="V11" s="109">
        <f>'Sm Comm Cust Fcst'!$G12*'Non-Residential TSM UC Adj'!R10</f>
        <v>0</v>
      </c>
      <c r="W11" s="23">
        <f>'Sm Comm Cust Fcst'!$G12*'Non-Residential TSM UC Adj'!S10</f>
        <v>0</v>
      </c>
      <c r="X11" s="23">
        <f>'Sm Comm Cust Fcst'!$G12*'Non-Residential TSM UC Adj'!T10</f>
        <v>0</v>
      </c>
      <c r="Y11" s="41">
        <f>IF(SUM(V11:X11)=0,0,SUM(V11:X11)/'Sm Comm Cust Fcst'!G12)</f>
        <v>0</v>
      </c>
      <c r="Z11" s="109">
        <f t="shared" si="3"/>
        <v>355976.9147281514</v>
      </c>
      <c r="AA11" s="23">
        <f t="shared" si="1"/>
        <v>44556.063244642748</v>
      </c>
      <c r="AB11" s="23">
        <f t="shared" si="1"/>
        <v>26401.273807007736</v>
      </c>
      <c r="AC11" s="41">
        <f>IF(SUM(Z11:AB11)=0,0,SUM(Z11:AB11)/'Sm Comm Cust Fcst'!H12)</f>
        <v>4269.3425177980189</v>
      </c>
    </row>
    <row r="12" spans="1:29">
      <c r="A12" s="124" t="s">
        <v>102</v>
      </c>
      <c r="B12" s="109">
        <f>'Sm Comm Cust Fcst'!$B13*'Non-Residential TSM UC Adj'!B11</f>
        <v>32740.929626122797</v>
      </c>
      <c r="C12" s="23">
        <f>'Sm Comm Cust Fcst'!$B13*'Non-Residential TSM UC Adj'!C11</f>
        <v>2592.4401866748385</v>
      </c>
      <c r="D12" s="23">
        <f>'Sm Comm Cust Fcst'!$B13*'Non-Residential TSM UC Adj'!D11</f>
        <v>3465.1292827697075</v>
      </c>
      <c r="E12" s="41">
        <f>IF(SUM(B12:D12)=0,0,SUM(B12:D12)/'Sm Comm Cust Fcst'!B13)</f>
        <v>2586.5666063711565</v>
      </c>
      <c r="F12" s="109">
        <f>'Sm Comm Cust Fcst'!$C13*'Non-Residential TSM UC Adj'!F11</f>
        <v>23529.550987325027</v>
      </c>
      <c r="G12" s="23">
        <f>'Sm Comm Cust Fcst'!$C13*'Non-Residential TSM UC Adj'!G11</f>
        <v>3591.4595955726622</v>
      </c>
      <c r="H12" s="23">
        <f>'Sm Comm Cust Fcst'!$C13*'Non-Residential TSM UC Adj'!H11</f>
        <v>1485.0842864442047</v>
      </c>
      <c r="I12" s="41">
        <f>IF(SUM(F12:H12)=0,0,SUM(F12:H12)/'Sm Comm Cust Fcst'!C13)</f>
        <v>5721.2189738683792</v>
      </c>
      <c r="J12" s="109">
        <f>'Sm Comm Cust Fcst'!$D13*'Non-Residential TSM UC Adj'!J11</f>
        <v>113806.26074335478</v>
      </c>
      <c r="K12" s="23">
        <f>'Sm Comm Cust Fcst'!$D13*'Non-Residential TSM UC Adj'!K11</f>
        <v>16520.714139634245</v>
      </c>
      <c r="L12" s="23">
        <f>'Sm Comm Cust Fcst'!$D13*'Non-Residential TSM UC Adj'!L11</f>
        <v>6831.3877176433416</v>
      </c>
      <c r="M12" s="41">
        <f>IF(SUM(J12:L12)=0,0,SUM(J12:L12)/'Sm Comm Cust Fcst'!D13)</f>
        <v>5963.4070695927112</v>
      </c>
      <c r="N12" s="109">
        <f>'Sm Comm Cust Fcst'!$E13*'Non-Residential TSM UC Adj'!N11</f>
        <v>23347.179396575415</v>
      </c>
      <c r="O12" s="23">
        <f>'Sm Comm Cust Fcst'!$E13*'Non-Residential TSM UC Adj'!O11</f>
        <v>2873.1676764581298</v>
      </c>
      <c r="P12" s="23">
        <f>'Sm Comm Cust Fcst'!$E13*'Non-Residential TSM UC Adj'!P11</f>
        <v>1188.0674291553637</v>
      </c>
      <c r="Q12" s="41">
        <f>IF(SUM(N12:P12)=0,0,SUM(N12:P12)/'Sm Comm Cust Fcst'!E13)</f>
        <v>6852.1036255472272</v>
      </c>
      <c r="R12" s="109">
        <f t="shared" si="2"/>
        <v>193423.92075337801</v>
      </c>
      <c r="S12" s="23">
        <f t="shared" si="0"/>
        <v>25577.781598339876</v>
      </c>
      <c r="T12" s="23">
        <f t="shared" si="0"/>
        <v>12969.668716012618</v>
      </c>
      <c r="U12" s="41">
        <f>IF(SUM(R12:T12)=0,0,SUM(R12:T12)/'Sm Comm Cust Fcst'!F13)</f>
        <v>4935.5610865474573</v>
      </c>
      <c r="V12" s="109">
        <f>'Sm Comm Cust Fcst'!$G13*'Non-Residential TSM UC Adj'!R11</f>
        <v>0</v>
      </c>
      <c r="W12" s="23">
        <f>'Sm Comm Cust Fcst'!$G13*'Non-Residential TSM UC Adj'!S11</f>
        <v>0</v>
      </c>
      <c r="X12" s="23">
        <f>'Sm Comm Cust Fcst'!$G13*'Non-Residential TSM UC Adj'!T11</f>
        <v>0</v>
      </c>
      <c r="Y12" s="41">
        <f>IF(SUM(V12:X12)=0,0,SUM(V12:X12)/'Sm Comm Cust Fcst'!G13)</f>
        <v>0</v>
      </c>
      <c r="Z12" s="109">
        <f t="shared" si="3"/>
        <v>193423.92075337801</v>
      </c>
      <c r="AA12" s="23">
        <f t="shared" si="1"/>
        <v>25577.781598339876</v>
      </c>
      <c r="AB12" s="23">
        <f t="shared" si="1"/>
        <v>12969.668716012618</v>
      </c>
      <c r="AC12" s="41">
        <f>IF(SUM(Z12:AB12)=0,0,SUM(Z12:AB12)/'Sm Comm Cust Fcst'!H13)</f>
        <v>4935.5610865474573</v>
      </c>
    </row>
    <row r="13" spans="1:29">
      <c r="A13" s="124" t="s">
        <v>8</v>
      </c>
      <c r="B13" s="109">
        <f>'Sm Comm Cust Fcst'!$B14*'Non-Residential TSM UC Adj'!B12</f>
        <v>192293.83730158707</v>
      </c>
      <c r="C13" s="23">
        <f>'Sm Comm Cust Fcst'!$B14*'Non-Residential TSM UC Adj'!C12</f>
        <v>17083.385166656128</v>
      </c>
      <c r="D13" s="23">
        <f>'Sm Comm Cust Fcst'!$B14*'Non-Residential TSM UC Adj'!D12</f>
        <v>9471.3533729038663</v>
      </c>
      <c r="E13" s="41">
        <f>IF(SUM(B13:D13)=0,0,SUM(B13:D13)/'Sm Comm Cust Fcst'!B14)</f>
        <v>5337.7701424670022</v>
      </c>
      <c r="F13" s="109">
        <f>'Sm Comm Cust Fcst'!$C14*'Non-Residential TSM UC Adj'!F12</f>
        <v>42353.191777185049</v>
      </c>
      <c r="G13" s="23">
        <f>'Sm Comm Cust Fcst'!$C14*'Non-Residential TSM UC Adj'!G12</f>
        <v>2805.7053214268699</v>
      </c>
      <c r="H13" s="23">
        <f>'Sm Comm Cust Fcst'!$C14*'Non-Residential TSM UC Adj'!H12</f>
        <v>891.05057186652277</v>
      </c>
      <c r="I13" s="41">
        <f>IF(SUM(F13:H13)=0,0,SUM(F13:H13)/'Sm Comm Cust Fcst'!C14)</f>
        <v>15349.982556826146</v>
      </c>
      <c r="J13" s="109">
        <f>'Sm Comm Cust Fcst'!$D14*'Non-Residential TSM UC Adj'!J12</f>
        <v>371107.37198920036</v>
      </c>
      <c r="K13" s="23">
        <f>'Sm Comm Cust Fcst'!$D14*'Non-Residential TSM UC Adj'!K12</f>
        <v>23380.877678557248</v>
      </c>
      <c r="L13" s="23">
        <f>'Sm Comm Cust Fcst'!$D14*'Non-Residential TSM UC Adj'!L12</f>
        <v>7425.4214322210228</v>
      </c>
      <c r="M13" s="41">
        <f>IF(SUM(J13:L13)=0,0,SUM(J13:L13)/'Sm Comm Cust Fcst'!D14)</f>
        <v>16076.546843999145</v>
      </c>
      <c r="N13" s="109">
        <f>'Sm Comm Cust Fcst'!$E14*'Non-Residential TSM UC Adj'!N12</f>
        <v>5836.7948491438538</v>
      </c>
      <c r="O13" s="23">
        <f>'Sm Comm Cust Fcst'!$E14*'Non-Residential TSM UC Adj'!O12</f>
        <v>935.23510714228996</v>
      </c>
      <c r="P13" s="23">
        <f>'Sm Comm Cust Fcst'!$E14*'Non-Residential TSM UC Adj'!P12</f>
        <v>297.01685728884092</v>
      </c>
      <c r="Q13" s="41">
        <f>IF(SUM(N13:P13)=0,0,SUM(N13:P13)/'Sm Comm Cust Fcst'!E14)</f>
        <v>7069.0468135749843</v>
      </c>
      <c r="R13" s="109">
        <f t="shared" si="2"/>
        <v>611591.19591711625</v>
      </c>
      <c r="S13" s="23">
        <f t="shared" si="0"/>
        <v>44205.203273782536</v>
      </c>
      <c r="T13" s="23">
        <f t="shared" si="0"/>
        <v>18084.842234280251</v>
      </c>
      <c r="U13" s="41">
        <f>IF(SUM(R13:T13)=0,0,SUM(R13:T13)/'Sm Comm Cust Fcst'!F14)</f>
        <v>9626.874877502556</v>
      </c>
      <c r="V13" s="109">
        <f>'Sm Comm Cust Fcst'!$G14*'Non-Residential TSM UC Adj'!R12</f>
        <v>0</v>
      </c>
      <c r="W13" s="23">
        <f>'Sm Comm Cust Fcst'!$G14*'Non-Residential TSM UC Adj'!S12</f>
        <v>0</v>
      </c>
      <c r="X13" s="23">
        <f>'Sm Comm Cust Fcst'!$G14*'Non-Residential TSM UC Adj'!T12</f>
        <v>0</v>
      </c>
      <c r="Y13" s="41">
        <f>IF(SUM(V13:X13)=0,0,SUM(V13:X13)/'Sm Comm Cust Fcst'!G14)</f>
        <v>0</v>
      </c>
      <c r="Z13" s="109">
        <f t="shared" si="3"/>
        <v>611591.19591711625</v>
      </c>
      <c r="AA13" s="23">
        <f t="shared" si="1"/>
        <v>44205.203273782536</v>
      </c>
      <c r="AB13" s="23">
        <f t="shared" si="1"/>
        <v>18084.842234280251</v>
      </c>
      <c r="AC13" s="41">
        <f>IF(SUM(Z13:AB13)=0,0,SUM(Z13:AB13)/'Sm Comm Cust Fcst'!H14)</f>
        <v>9626.874877502556</v>
      </c>
    </row>
    <row r="14" spans="1:29">
      <c r="A14" s="124" t="s">
        <v>9</v>
      </c>
      <c r="B14" s="109">
        <f>'Sm Comm Cust Fcst'!$B15*'Non-Residential TSM UC Adj'!B13</f>
        <v>30900.485273863036</v>
      </c>
      <c r="C14" s="23">
        <f>'Sm Comm Cust Fcst'!$B15*'Non-Residential TSM UC Adj'!C13</f>
        <v>4027.8061416005212</v>
      </c>
      <c r="D14" s="23">
        <f>'Sm Comm Cust Fcst'!$B15*'Non-Residential TSM UC Adj'!D13</f>
        <v>1386.051713107883</v>
      </c>
      <c r="E14" s="41">
        <f>IF(SUM(B14:D14)=0,0,SUM(B14:D14)/'Sm Comm Cust Fcst'!B15)</f>
        <v>6052.3905214285733</v>
      </c>
      <c r="F14" s="109">
        <f>'Sm Comm Cust Fcst'!$C15*'Non-Residential TSM UC Adj'!F13</f>
        <v>0</v>
      </c>
      <c r="G14" s="23">
        <f>'Sm Comm Cust Fcst'!$C15*'Non-Residential TSM UC Adj'!G13</f>
        <v>0</v>
      </c>
      <c r="H14" s="23">
        <f>'Sm Comm Cust Fcst'!$C15*'Non-Residential TSM UC Adj'!H13</f>
        <v>0</v>
      </c>
      <c r="I14" s="41">
        <f>IF(SUM(F14:H14)=0,0,SUM(F14:H14)/'Sm Comm Cust Fcst'!C15)</f>
        <v>0</v>
      </c>
      <c r="J14" s="109">
        <f>'Sm Comm Cust Fcst'!$D15*'Non-Residential TSM UC Adj'!J13</f>
        <v>74221.47439784008</v>
      </c>
      <c r="K14" s="23">
        <f>'Sm Comm Cust Fcst'!$D15*'Non-Residential TSM UC Adj'!K13</f>
        <v>7202.7496742016328</v>
      </c>
      <c r="L14" s="23">
        <f>'Sm Comm Cust Fcst'!$D15*'Non-Residential TSM UC Adj'!L13</f>
        <v>1485.0842864442047</v>
      </c>
      <c r="M14" s="41">
        <f>IF(SUM(J14:L14)=0,0,SUM(J14:L14)/'Sm Comm Cust Fcst'!D15)</f>
        <v>16581.861671697185</v>
      </c>
      <c r="N14" s="109">
        <f>'Sm Comm Cust Fcst'!$E15*'Non-Residential TSM UC Adj'!N13</f>
        <v>17510.38454743156</v>
      </c>
      <c r="O14" s="23">
        <f>'Sm Comm Cust Fcst'!$E15*'Non-Residential TSM UC Adj'!O13</f>
        <v>1870.4702142845799</v>
      </c>
      <c r="P14" s="23">
        <f>'Sm Comm Cust Fcst'!$E15*'Non-Residential TSM UC Adj'!P13</f>
        <v>594.03371457768185</v>
      </c>
      <c r="Q14" s="41">
        <f>IF(SUM(N14:P14)=0,0,SUM(N14:P14)/'Sm Comm Cust Fcst'!E15)</f>
        <v>9987.4442381469107</v>
      </c>
      <c r="R14" s="109">
        <f t="shared" si="2"/>
        <v>122632.34421913467</v>
      </c>
      <c r="S14" s="23">
        <f t="shared" si="0"/>
        <v>13101.026030086734</v>
      </c>
      <c r="T14" s="23">
        <f t="shared" si="0"/>
        <v>3465.16971412977</v>
      </c>
      <c r="U14" s="41">
        <f>IF(SUM(R14:T14)=0,0,SUM(R14:T14)/'Sm Comm Cust Fcst'!F15)</f>
        <v>10707.579997180857</v>
      </c>
      <c r="V14" s="109">
        <f>'Sm Comm Cust Fcst'!$G15*'Non-Residential TSM UC Adj'!R13</f>
        <v>0</v>
      </c>
      <c r="W14" s="23">
        <f>'Sm Comm Cust Fcst'!$G15*'Non-Residential TSM UC Adj'!S13</f>
        <v>0</v>
      </c>
      <c r="X14" s="23">
        <f>'Sm Comm Cust Fcst'!$G15*'Non-Residential TSM UC Adj'!T13</f>
        <v>0</v>
      </c>
      <c r="Y14" s="41">
        <f>IF(SUM(V14:X14)=0,0,SUM(V14:X14)/'Sm Comm Cust Fcst'!G15)</f>
        <v>0</v>
      </c>
      <c r="Z14" s="109">
        <f t="shared" si="3"/>
        <v>122632.34421913467</v>
      </c>
      <c r="AA14" s="23">
        <f t="shared" si="1"/>
        <v>13101.026030086734</v>
      </c>
      <c r="AB14" s="23">
        <f t="shared" si="1"/>
        <v>3465.16971412977</v>
      </c>
      <c r="AC14" s="41">
        <f>IF(SUM(Z14:AB14)=0,0,SUM(Z14:AB14)/'Sm Comm Cust Fcst'!H15)</f>
        <v>10707.579997180857</v>
      </c>
    </row>
    <row r="15" spans="1:29">
      <c r="A15" s="124" t="s">
        <v>10</v>
      </c>
      <c r="B15" s="109">
        <f>'Sm Comm Cust Fcst'!$B16*'Non-Residential TSM UC Adj'!B14</f>
        <v>0</v>
      </c>
      <c r="C15" s="23">
        <f>'Sm Comm Cust Fcst'!$B16*'Non-Residential TSM UC Adj'!C14</f>
        <v>0</v>
      </c>
      <c r="D15" s="23">
        <f>'Sm Comm Cust Fcst'!$B16*'Non-Residential TSM UC Adj'!D14</f>
        <v>0</v>
      </c>
      <c r="E15" s="41">
        <f>IF(SUM(B15:D15)=0,0,SUM(B15:D15)/'Sm Comm Cust Fcst'!B16)</f>
        <v>0</v>
      </c>
      <c r="F15" s="109">
        <f>'Sm Comm Cust Fcst'!$C16*'Non-Residential TSM UC Adj'!F14</f>
        <v>0</v>
      </c>
      <c r="G15" s="23">
        <f>'Sm Comm Cust Fcst'!$C16*'Non-Residential TSM UC Adj'!G14</f>
        <v>0</v>
      </c>
      <c r="H15" s="23">
        <f>'Sm Comm Cust Fcst'!$C16*'Non-Residential TSM UC Adj'!H14</f>
        <v>0</v>
      </c>
      <c r="I15" s="41">
        <f>IF(SUM(F15:H15)=0,0,SUM(F15:H15)/'Sm Comm Cust Fcst'!C16)</f>
        <v>0</v>
      </c>
      <c r="J15" s="109">
        <f>'Sm Comm Cust Fcst'!$D16*'Non-Residential TSM UC Adj'!J14</f>
        <v>0</v>
      </c>
      <c r="K15" s="23">
        <f>'Sm Comm Cust Fcst'!$D16*'Non-Residential TSM UC Adj'!K14</f>
        <v>0</v>
      </c>
      <c r="L15" s="23">
        <f>'Sm Comm Cust Fcst'!$D16*'Non-Residential TSM UC Adj'!L14</f>
        <v>0</v>
      </c>
      <c r="M15" s="41">
        <f>IF(SUM(J15:L15)=0,0,SUM(J15:L15)/'Sm Comm Cust Fcst'!D16)</f>
        <v>0</v>
      </c>
      <c r="N15" s="109">
        <f>'Sm Comm Cust Fcst'!$E16*'Non-Residential TSM UC Adj'!N14</f>
        <v>0</v>
      </c>
      <c r="O15" s="23">
        <f>'Sm Comm Cust Fcst'!$E16*'Non-Residential TSM UC Adj'!O14</f>
        <v>0</v>
      </c>
      <c r="P15" s="23">
        <f>'Sm Comm Cust Fcst'!$E16*'Non-Residential TSM UC Adj'!P14</f>
        <v>0</v>
      </c>
      <c r="Q15" s="41">
        <f>IF(SUM(N15:P15)=0,0,SUM(N15:P15)/'Sm Comm Cust Fcst'!E16)</f>
        <v>0</v>
      </c>
      <c r="R15" s="109">
        <f t="shared" si="2"/>
        <v>0</v>
      </c>
      <c r="S15" s="23">
        <f t="shared" si="0"/>
        <v>0</v>
      </c>
      <c r="T15" s="23">
        <f t="shared" si="0"/>
        <v>0</v>
      </c>
      <c r="U15" s="41">
        <f>IF(SUM(R15:T15)=0,0,SUM(R15:T15)/'Sm Comm Cust Fcst'!F16)</f>
        <v>0</v>
      </c>
      <c r="V15" s="109">
        <f>'Sm Comm Cust Fcst'!$G16*'Non-Residential TSM UC Adj'!R14</f>
        <v>0</v>
      </c>
      <c r="W15" s="23">
        <f>'Sm Comm Cust Fcst'!$G16*'Non-Residential TSM UC Adj'!S14</f>
        <v>0</v>
      </c>
      <c r="X15" s="23">
        <f>'Sm Comm Cust Fcst'!$G16*'Non-Residential TSM UC Adj'!T14</f>
        <v>0</v>
      </c>
      <c r="Y15" s="41">
        <f>IF(SUM(V15:X15)=0,0,SUM(V15:X15)/'Sm Comm Cust Fcst'!G16)</f>
        <v>0</v>
      </c>
      <c r="Z15" s="109">
        <f t="shared" si="3"/>
        <v>0</v>
      </c>
      <c r="AA15" s="23">
        <f t="shared" si="1"/>
        <v>0</v>
      </c>
      <c r="AB15" s="23">
        <f t="shared" si="1"/>
        <v>0</v>
      </c>
      <c r="AC15" s="41">
        <f>IF(SUM(Z15:AB15)=0,0,SUM(Z15:AB15)/'Sm Comm Cust Fcst'!H16)</f>
        <v>0</v>
      </c>
    </row>
    <row r="16" spans="1:29">
      <c r="A16" s="124" t="s">
        <v>11</v>
      </c>
      <c r="B16" s="109">
        <f>'Sm Comm Cust Fcst'!$B17*'Non-Residential TSM UC Adj'!B15</f>
        <v>0</v>
      </c>
      <c r="C16" s="23">
        <f>'Sm Comm Cust Fcst'!$B17*'Non-Residential TSM UC Adj'!C15</f>
        <v>0</v>
      </c>
      <c r="D16" s="23">
        <f>'Sm Comm Cust Fcst'!$B17*'Non-Residential TSM UC Adj'!D15</f>
        <v>0</v>
      </c>
      <c r="E16" s="41">
        <f>IF(SUM(B16:D16)=0,0,SUM(B16:D16)/'Sm Comm Cust Fcst'!B17)</f>
        <v>0</v>
      </c>
      <c r="F16" s="109">
        <f>'Sm Comm Cust Fcst'!$C17*'Non-Residential TSM UC Adj'!F15</f>
        <v>0</v>
      </c>
      <c r="G16" s="23">
        <f>'Sm Comm Cust Fcst'!$C17*'Non-Residential TSM UC Adj'!G15</f>
        <v>0</v>
      </c>
      <c r="H16" s="23">
        <f>'Sm Comm Cust Fcst'!$C17*'Non-Residential TSM UC Adj'!H15</f>
        <v>0</v>
      </c>
      <c r="I16" s="41">
        <f>IF(SUM(F16:H16)=0,0,SUM(F16:H16)/'Sm Comm Cust Fcst'!C17)</f>
        <v>0</v>
      </c>
      <c r="J16" s="109">
        <f>'Sm Comm Cust Fcst'!$D17*'Non-Residential TSM UC Adj'!J15</f>
        <v>68780.313474850875</v>
      </c>
      <c r="K16" s="23">
        <f>'Sm Comm Cust Fcst'!$D17*'Non-Residential TSM UC Adj'!K15</f>
        <v>11524.399478722613</v>
      </c>
      <c r="L16" s="23">
        <f>'Sm Comm Cust Fcst'!$D17*'Non-Residential TSM UC Adj'!L15</f>
        <v>3421.1723081100972</v>
      </c>
      <c r="M16" s="41">
        <f>IF(SUM(J16:L16)=0,0,SUM(J16:L16)/'Sm Comm Cust Fcst'!D17)</f>
        <v>20931.471315420895</v>
      </c>
      <c r="N16" s="109">
        <f>'Sm Comm Cust Fcst'!$E17*'Non-Residential TSM UC Adj'!N15</f>
        <v>35020.769094863121</v>
      </c>
      <c r="O16" s="23">
        <f>'Sm Comm Cust Fcst'!$E17*'Non-Residential TSM UC Adj'!O15</f>
        <v>2881.0998696806532</v>
      </c>
      <c r="P16" s="23">
        <f>'Sm Comm Cust Fcst'!$E17*'Non-Residential TSM UC Adj'!P15</f>
        <v>1710.5861540550486</v>
      </c>
      <c r="Q16" s="41">
        <f>IF(SUM(N16:P16)=0,0,SUM(N16:P16)/'Sm Comm Cust Fcst'!E17)</f>
        <v>19806.227559299412</v>
      </c>
      <c r="R16" s="109">
        <f t="shared" si="2"/>
        <v>103801.082569714</v>
      </c>
      <c r="S16" s="23">
        <f t="shared" si="0"/>
        <v>14405.499348403266</v>
      </c>
      <c r="T16" s="23">
        <f t="shared" si="0"/>
        <v>5131.7584621651458</v>
      </c>
      <c r="U16" s="41">
        <f>IF(SUM(R16:T16)=0,0,SUM(R16:T16)/'Sm Comm Cust Fcst'!F17)</f>
        <v>20556.390063380401</v>
      </c>
      <c r="V16" s="109">
        <f>'Sm Comm Cust Fcst'!$G17*'Non-Residential TSM UC Adj'!R15</f>
        <v>0</v>
      </c>
      <c r="W16" s="23">
        <f>'Sm Comm Cust Fcst'!$G17*'Non-Residential TSM UC Adj'!S15</f>
        <v>0</v>
      </c>
      <c r="X16" s="23">
        <f>'Sm Comm Cust Fcst'!$G17*'Non-Residential TSM UC Adj'!T15</f>
        <v>0</v>
      </c>
      <c r="Y16" s="41">
        <f>IF(SUM(V16:X16)=0,0,SUM(V16:X16)/'Sm Comm Cust Fcst'!G17)</f>
        <v>0</v>
      </c>
      <c r="Z16" s="109">
        <f t="shared" si="3"/>
        <v>103801.082569714</v>
      </c>
      <c r="AA16" s="23">
        <f t="shared" si="1"/>
        <v>14405.499348403266</v>
      </c>
      <c r="AB16" s="23">
        <f t="shared" si="1"/>
        <v>5131.7584621651458</v>
      </c>
      <c r="AC16" s="41">
        <f>IF(SUM(Z16:AB16)=0,0,SUM(Z16:AB16)/'Sm Comm Cust Fcst'!H17)</f>
        <v>20556.390063380401</v>
      </c>
    </row>
    <row r="17" spans="1:29">
      <c r="A17" s="124" t="s">
        <v>106</v>
      </c>
      <c r="B17" s="109">
        <f>'Sm Comm Cust Fcst'!$B18*'Non-Residential TSM UC Adj'!B16</f>
        <v>0</v>
      </c>
      <c r="C17" s="23">
        <f>'Sm Comm Cust Fcst'!$B18*'Non-Residential TSM UC Adj'!C16</f>
        <v>0</v>
      </c>
      <c r="D17" s="23">
        <f>'Sm Comm Cust Fcst'!$B18*'Non-Residential TSM UC Adj'!D16</f>
        <v>0</v>
      </c>
      <c r="E17" s="41">
        <f>IF(SUM(B17:D17)=0,0,SUM(B17:D17)/'Sm Comm Cust Fcst'!B18)</f>
        <v>0</v>
      </c>
      <c r="F17" s="109">
        <f>'Sm Comm Cust Fcst'!$C18*'Non-Residential TSM UC Adj'!F16</f>
        <v>0</v>
      </c>
      <c r="G17" s="23">
        <f>'Sm Comm Cust Fcst'!$C18*'Non-Residential TSM UC Adj'!G16</f>
        <v>0</v>
      </c>
      <c r="H17" s="23">
        <f>'Sm Comm Cust Fcst'!$C18*'Non-Residential TSM UC Adj'!H16</f>
        <v>0</v>
      </c>
      <c r="I17" s="41">
        <f>IF(SUM(F17:H17)=0,0,SUM(F17:H17)/'Sm Comm Cust Fcst'!C18)</f>
        <v>0</v>
      </c>
      <c r="J17" s="109">
        <f>'Sm Comm Cust Fcst'!$D18*'Non-Residential TSM UC Adj'!J16</f>
        <v>0</v>
      </c>
      <c r="K17" s="23">
        <f>'Sm Comm Cust Fcst'!$D18*'Non-Residential TSM UC Adj'!K16</f>
        <v>0</v>
      </c>
      <c r="L17" s="23">
        <f>'Sm Comm Cust Fcst'!$D18*'Non-Residential TSM UC Adj'!L16</f>
        <v>0</v>
      </c>
      <c r="M17" s="41">
        <f>IF(SUM(J17:L17)=0,0,SUM(J17:L17)/'Sm Comm Cust Fcst'!D18)</f>
        <v>0</v>
      </c>
      <c r="N17" s="109">
        <f>'Sm Comm Cust Fcst'!$E18*'Non-Residential TSM UC Adj'!N16</f>
        <v>0</v>
      </c>
      <c r="O17" s="23">
        <f>'Sm Comm Cust Fcst'!$E18*'Non-Residential TSM UC Adj'!O16</f>
        <v>0</v>
      </c>
      <c r="P17" s="23">
        <f>'Sm Comm Cust Fcst'!$E18*'Non-Residential TSM UC Adj'!P16</f>
        <v>0</v>
      </c>
      <c r="Q17" s="41">
        <f>IF(SUM(N17:P17)=0,0,SUM(N17:P17)/'Sm Comm Cust Fcst'!E18)</f>
        <v>0</v>
      </c>
      <c r="R17" s="109">
        <f t="shared" si="2"/>
        <v>0</v>
      </c>
      <c r="S17" s="23">
        <f t="shared" si="0"/>
        <v>0</v>
      </c>
      <c r="T17" s="23">
        <f t="shared" si="0"/>
        <v>0</v>
      </c>
      <c r="U17" s="41">
        <f>IF(SUM(R17:T17)=0,0,SUM(R17:T17)/'Sm Comm Cust Fcst'!F18)</f>
        <v>0</v>
      </c>
      <c r="V17" s="109">
        <f>'Sm Comm Cust Fcst'!$G18*'Non-Residential TSM UC Adj'!R16</f>
        <v>0</v>
      </c>
      <c r="W17" s="23">
        <f>'Sm Comm Cust Fcst'!$G18*'Non-Residential TSM UC Adj'!S16</f>
        <v>0</v>
      </c>
      <c r="X17" s="23">
        <f>'Sm Comm Cust Fcst'!$G18*'Non-Residential TSM UC Adj'!T16</f>
        <v>0</v>
      </c>
      <c r="Y17" s="41">
        <f>IF(SUM(V17:X17)=0,0,SUM(V17:X17)/'Sm Comm Cust Fcst'!G18)</f>
        <v>0</v>
      </c>
      <c r="Z17" s="109">
        <f t="shared" si="3"/>
        <v>0</v>
      </c>
      <c r="AA17" s="23">
        <f t="shared" si="1"/>
        <v>0</v>
      </c>
      <c r="AB17" s="23">
        <f t="shared" si="1"/>
        <v>0</v>
      </c>
      <c r="AC17" s="41">
        <f>IF(SUM(Z17:AB17)=0,0,SUM(Z17:AB17)/'Sm Comm Cust Fcst'!H18)</f>
        <v>0</v>
      </c>
    </row>
    <row r="18" spans="1:29">
      <c r="A18" s="124" t="s">
        <v>107</v>
      </c>
      <c r="B18" s="109">
        <f>'Sm Comm Cust Fcst'!$B19*'Non-Residential TSM UC Adj'!J17</f>
        <v>0</v>
      </c>
      <c r="C18" s="23">
        <f>'Sm Comm Cust Fcst'!$B19*'Non-Residential TSM UC Adj'!K17</f>
        <v>0</v>
      </c>
      <c r="D18" s="23">
        <f>'Sm Comm Cust Fcst'!$B19*'Non-Residential TSM UC Adj'!L17</f>
        <v>0</v>
      </c>
      <c r="E18" s="41">
        <f>IF(SUM(B18:D18)=0,0,SUM(B18:D18)/'Sm Comm Cust Fcst'!B19)</f>
        <v>0</v>
      </c>
      <c r="F18" s="109">
        <f>'Sm Comm Cust Fcst'!$C19*'Non-Residential TSM UC Adj'!F17</f>
        <v>0</v>
      </c>
      <c r="G18" s="23">
        <f>'Sm Comm Cust Fcst'!$C19*'Non-Residential TSM UC Adj'!G17</f>
        <v>0</v>
      </c>
      <c r="H18" s="23">
        <f>'Sm Comm Cust Fcst'!$C19*'Non-Residential TSM UC Adj'!H17</f>
        <v>0</v>
      </c>
      <c r="I18" s="41">
        <f>IF(SUM(F18:H18)=0,0,SUM(F18:H18)/'Sm Comm Cust Fcst'!C19)</f>
        <v>0</v>
      </c>
      <c r="J18" s="109">
        <f>'Sm Comm Cust Fcst'!$D19*'Non-Residential TSM UC Adj'!J17</f>
        <v>0</v>
      </c>
      <c r="K18" s="23">
        <f>'Sm Comm Cust Fcst'!$D19*'Non-Residential TSM UC Adj'!K17</f>
        <v>0</v>
      </c>
      <c r="L18" s="23">
        <f>'Sm Comm Cust Fcst'!$D19*'Non-Residential TSM UC Adj'!L17</f>
        <v>0</v>
      </c>
      <c r="M18" s="41">
        <f>IF(SUM(J18:L18)=0,0,SUM(J18:L18)/'Sm Comm Cust Fcst'!D19)</f>
        <v>0</v>
      </c>
      <c r="N18" s="109">
        <f>'Sm Comm Cust Fcst'!$E19*'Non-Residential TSM UC Adj'!N17</f>
        <v>0</v>
      </c>
      <c r="O18" s="23">
        <f>'Sm Comm Cust Fcst'!$E19*'Non-Residential TSM UC Adj'!O17</f>
        <v>0</v>
      </c>
      <c r="P18" s="23">
        <f>'Sm Comm Cust Fcst'!$E19*'Non-Residential TSM UC Adj'!P17</f>
        <v>0</v>
      </c>
      <c r="Q18" s="41">
        <f>IF(SUM(N18:P18)=0,0,SUM(N18:P18)/'Sm Comm Cust Fcst'!E19)</f>
        <v>0</v>
      </c>
      <c r="R18" s="109">
        <f t="shared" si="2"/>
        <v>0</v>
      </c>
      <c r="S18" s="23">
        <f t="shared" si="0"/>
        <v>0</v>
      </c>
      <c r="T18" s="23">
        <f t="shared" si="0"/>
        <v>0</v>
      </c>
      <c r="U18" s="41">
        <f>IF(SUM(R18:T18)=0,0,SUM(R18:T18)/'Sm Comm Cust Fcst'!F19)</f>
        <v>0</v>
      </c>
      <c r="V18" s="109">
        <f>'Sm Comm Cust Fcst'!$G19*'Non-Residential TSM UC Adj'!R17</f>
        <v>0</v>
      </c>
      <c r="W18" s="23">
        <f>'Sm Comm Cust Fcst'!$G19*'Non-Residential TSM UC Adj'!S17</f>
        <v>0</v>
      </c>
      <c r="X18" s="23">
        <f>'Sm Comm Cust Fcst'!$G19*'Non-Residential TSM UC Adj'!T17</f>
        <v>0</v>
      </c>
      <c r="Y18" s="41">
        <f>IF(SUM(V18:X18)=0,0,SUM(V18:X18)/'Sm Comm Cust Fcst'!G19)</f>
        <v>0</v>
      </c>
      <c r="Z18" s="109">
        <f t="shared" si="3"/>
        <v>0</v>
      </c>
      <c r="AA18" s="23">
        <f t="shared" si="1"/>
        <v>0</v>
      </c>
      <c r="AB18" s="23">
        <f t="shared" si="1"/>
        <v>0</v>
      </c>
      <c r="AC18" s="41">
        <f>IF(SUM(Z18:AB18)=0,0,SUM(Z18:AB18)/'Sm Comm Cust Fcst'!H19)</f>
        <v>0</v>
      </c>
    </row>
    <row r="19" spans="1:29">
      <c r="A19" s="124" t="s">
        <v>12</v>
      </c>
      <c r="B19" s="109">
        <f>'Sm Comm Cust Fcst'!$B20*'Non-Residential TSM UC Adj'!J18</f>
        <v>0</v>
      </c>
      <c r="C19" s="23">
        <f>'Sm Comm Cust Fcst'!$B20*'Non-Residential TSM UC Adj'!K18</f>
        <v>0</v>
      </c>
      <c r="D19" s="23">
        <f>'Sm Comm Cust Fcst'!$B20*'Non-Residential TSM UC Adj'!L18</f>
        <v>0</v>
      </c>
      <c r="E19" s="41">
        <f>IF(SUM(B19:D19)=0,0,SUM(B19:D19)/'Sm Comm Cust Fcst'!B20)</f>
        <v>0</v>
      </c>
      <c r="F19" s="109">
        <f>'Sm Comm Cust Fcst'!$C20*'Non-Residential TSM UC Adj'!J18</f>
        <v>0</v>
      </c>
      <c r="G19" s="23">
        <f>'Sm Comm Cust Fcst'!$C20*'Non-Residential TSM UC Adj'!K18</f>
        <v>0</v>
      </c>
      <c r="H19" s="23">
        <f>'Sm Comm Cust Fcst'!$C20*'Non-Residential TSM UC Adj'!L18</f>
        <v>0</v>
      </c>
      <c r="I19" s="41">
        <f>IF(SUM(F19:H19)=0,0,SUM(F19:H19)/'Sm Comm Cust Fcst'!C20)</f>
        <v>0</v>
      </c>
      <c r="J19" s="109">
        <f>'Sm Comm Cust Fcst'!$D20*'Non-Residential TSM UC Adj'!J18</f>
        <v>0</v>
      </c>
      <c r="K19" s="23">
        <f>'Sm Comm Cust Fcst'!$D20*'Non-Residential TSM UC Adj'!K18</f>
        <v>0</v>
      </c>
      <c r="L19" s="23">
        <f>'Sm Comm Cust Fcst'!$D20*'Non-Residential TSM UC Adj'!L18</f>
        <v>0</v>
      </c>
      <c r="M19" s="41">
        <f>IF(SUM(J19:L19)=0,0,SUM(J19:L19)/'Sm Comm Cust Fcst'!D20)</f>
        <v>0</v>
      </c>
      <c r="N19" s="109">
        <f>'Sm Comm Cust Fcst'!$E20*'Non-Residential TSM UC Adj'!N18</f>
        <v>0</v>
      </c>
      <c r="O19" s="23">
        <f>'Sm Comm Cust Fcst'!$E20*'Non-Residential TSM UC Adj'!O18</f>
        <v>0</v>
      </c>
      <c r="P19" s="23">
        <f>'Sm Comm Cust Fcst'!$E20*'Non-Residential TSM UC Adj'!P18</f>
        <v>0</v>
      </c>
      <c r="Q19" s="41">
        <f>IF(SUM(N19:P19)=0,0,SUM(N19:P19)/'Sm Comm Cust Fcst'!E20)</f>
        <v>0</v>
      </c>
      <c r="R19" s="109">
        <f t="shared" si="2"/>
        <v>0</v>
      </c>
      <c r="S19" s="23">
        <f t="shared" si="0"/>
        <v>0</v>
      </c>
      <c r="T19" s="23">
        <f t="shared" si="0"/>
        <v>0</v>
      </c>
      <c r="U19" s="41">
        <f>IF(SUM(R19:T19)=0,0,SUM(R19:T19)/'Sm Comm Cust Fcst'!F20)</f>
        <v>0</v>
      </c>
      <c r="V19" s="109">
        <f>'Sm Comm Cust Fcst'!$G20*'Non-Residential TSM UC Adj'!R18</f>
        <v>0</v>
      </c>
      <c r="W19" s="23">
        <f>'Sm Comm Cust Fcst'!$G20*'Non-Residential TSM UC Adj'!S18</f>
        <v>0</v>
      </c>
      <c r="X19" s="23">
        <f>'Sm Comm Cust Fcst'!$G20*'Non-Residential TSM UC Adj'!T18</f>
        <v>0</v>
      </c>
      <c r="Y19" s="41">
        <f>IF(SUM(V19:X19)=0,0,SUM(V19:X19)/'Sm Comm Cust Fcst'!G20)</f>
        <v>0</v>
      </c>
      <c r="Z19" s="109">
        <f t="shared" si="3"/>
        <v>0</v>
      </c>
      <c r="AA19" s="23">
        <f t="shared" si="1"/>
        <v>0</v>
      </c>
      <c r="AB19" s="23">
        <f t="shared" si="1"/>
        <v>0</v>
      </c>
      <c r="AC19" s="41">
        <f>IF(SUM(Z19:AB19)=0,0,SUM(Z19:AB19)/'Sm Comm Cust Fcst'!H20)</f>
        <v>0</v>
      </c>
    </row>
    <row r="20" spans="1:29" s="52" customFormat="1">
      <c r="A20" s="106" t="s">
        <v>13</v>
      </c>
      <c r="B20" s="109">
        <f>'Sm Comm Cust Fcst'!$B21*'Non-Residential TSM UC Adj'!J19</f>
        <v>0</v>
      </c>
      <c r="C20" s="23">
        <f>'Sm Comm Cust Fcst'!$B21*'Non-Residential TSM UC Adj'!K19</f>
        <v>0</v>
      </c>
      <c r="D20" s="23">
        <f>'Sm Comm Cust Fcst'!$B21*'Non-Residential TSM UC Adj'!L19</f>
        <v>0</v>
      </c>
      <c r="E20" s="41">
        <f>IF(SUM(B20:D20)=0,0,SUM(B20:D20)/'Sm Comm Cust Fcst'!B21)</f>
        <v>0</v>
      </c>
      <c r="F20" s="109">
        <f>'Sm Comm Cust Fcst'!$C21*'Non-Residential TSM UC Adj'!J19</f>
        <v>0</v>
      </c>
      <c r="G20" s="23">
        <f>'Sm Comm Cust Fcst'!$C21*'Non-Residential TSM UC Adj'!K19</f>
        <v>0</v>
      </c>
      <c r="H20" s="23">
        <f>'Sm Comm Cust Fcst'!$C21*'Non-Residential TSM UC Adj'!L19</f>
        <v>0</v>
      </c>
      <c r="I20" s="41">
        <f>IF(SUM(F20:H20)=0,0,SUM(F20:H20)/'Sm Comm Cust Fcst'!C21)</f>
        <v>0</v>
      </c>
      <c r="J20" s="109">
        <f>'Sm Comm Cust Fcst'!$D21*'Non-Residential TSM UC Adj'!J19</f>
        <v>0</v>
      </c>
      <c r="K20" s="23">
        <f>'Sm Comm Cust Fcst'!$D21*'Non-Residential TSM UC Adj'!K19</f>
        <v>0</v>
      </c>
      <c r="L20" s="23">
        <f>'Sm Comm Cust Fcst'!$D21*'Non-Residential TSM UC Adj'!L19</f>
        <v>0</v>
      </c>
      <c r="M20" s="41">
        <f>IF(SUM(J20:L20)=0,0,SUM(J20:L20)/'Sm Comm Cust Fcst'!D21)</f>
        <v>0</v>
      </c>
      <c r="N20" s="109">
        <f>'Sm Comm Cust Fcst'!$E21*'Non-Residential TSM UC Adj'!N19</f>
        <v>0</v>
      </c>
      <c r="O20" s="23">
        <f>'Sm Comm Cust Fcst'!$E21*'Non-Residential TSM UC Adj'!O19</f>
        <v>0</v>
      </c>
      <c r="P20" s="23">
        <f>'Sm Comm Cust Fcst'!$E21*'Non-Residential TSM UC Adj'!P19</f>
        <v>0</v>
      </c>
      <c r="Q20" s="41">
        <f>IF(SUM(N20:P20)=0,0,SUM(N20:P20)/'Sm Comm Cust Fcst'!E21)</f>
        <v>0</v>
      </c>
      <c r="R20" s="109">
        <f t="shared" si="2"/>
        <v>0</v>
      </c>
      <c r="S20" s="23">
        <f t="shared" si="0"/>
        <v>0</v>
      </c>
      <c r="T20" s="23">
        <f t="shared" si="0"/>
        <v>0</v>
      </c>
      <c r="U20" s="41">
        <f>IF(SUM(R20:T20)=0,0,SUM(R20:T20)/'Sm Comm Cust Fcst'!F21)</f>
        <v>0</v>
      </c>
      <c r="V20" s="109">
        <f>'Sm Comm Cust Fcst'!$G21*'Non-Residential TSM UC Adj'!R19</f>
        <v>0</v>
      </c>
      <c r="W20" s="23">
        <f>'Sm Comm Cust Fcst'!$G21*'Non-Residential TSM UC Adj'!S19</f>
        <v>0</v>
      </c>
      <c r="X20" s="23">
        <f>'Sm Comm Cust Fcst'!$G21*'Non-Residential TSM UC Adj'!T19</f>
        <v>0</v>
      </c>
      <c r="Y20" s="41">
        <f>IF(SUM(V20:X20)=0,0,SUM(V20:X20)/'Sm Comm Cust Fcst'!G21)</f>
        <v>0</v>
      </c>
      <c r="Z20" s="109">
        <f t="shared" si="3"/>
        <v>0</v>
      </c>
      <c r="AA20" s="23">
        <f t="shared" si="1"/>
        <v>0</v>
      </c>
      <c r="AB20" s="23">
        <f t="shared" si="1"/>
        <v>0</v>
      </c>
      <c r="AC20" s="41">
        <f>IF(SUM(Z20:AB20)=0,0,SUM(Z20:AB20)/'Sm Comm Cust Fcst'!H21)</f>
        <v>0</v>
      </c>
    </row>
    <row r="21" spans="1:29">
      <c r="A21" s="124" t="s">
        <v>108</v>
      </c>
      <c r="B21" s="109">
        <f>'Sm Comm Cust Fcst'!$B22*'Non-Residential TSM UC Adj'!J20</f>
        <v>0</v>
      </c>
      <c r="C21" s="23">
        <f>'Sm Comm Cust Fcst'!$B22*'Non-Residential TSM UC Adj'!K20</f>
        <v>0</v>
      </c>
      <c r="D21" s="23">
        <f>'Sm Comm Cust Fcst'!$B22*'Non-Residential TSM UC Adj'!L20</f>
        <v>0</v>
      </c>
      <c r="E21" s="41">
        <f>IF(SUM(B21:D21)=0,0,SUM(B21:D21)/'Sm Comm Cust Fcst'!B22)</f>
        <v>0</v>
      </c>
      <c r="F21" s="109">
        <f>'Sm Comm Cust Fcst'!$C22*'Non-Residential TSM UC Adj'!J20</f>
        <v>0</v>
      </c>
      <c r="G21" s="23">
        <f>'Sm Comm Cust Fcst'!$C22*'Non-Residential TSM UC Adj'!K20</f>
        <v>0</v>
      </c>
      <c r="H21" s="23">
        <f>'Sm Comm Cust Fcst'!$C22*'Non-Residential TSM UC Adj'!L20</f>
        <v>0</v>
      </c>
      <c r="I21" s="41">
        <f>IF(SUM(F21:H21)=0,0,SUM(F21:H21)/'Sm Comm Cust Fcst'!C22)</f>
        <v>0</v>
      </c>
      <c r="J21" s="109">
        <f>'Sm Comm Cust Fcst'!$D22*'Non-Residential TSM UC Adj'!J20</f>
        <v>0</v>
      </c>
      <c r="K21" s="23">
        <f>'Sm Comm Cust Fcst'!$D22*'Non-Residential TSM UC Adj'!K20</f>
        <v>0</v>
      </c>
      <c r="L21" s="23">
        <f>'Sm Comm Cust Fcst'!$D22*'Non-Residential TSM UC Adj'!L20</f>
        <v>0</v>
      </c>
      <c r="M21" s="41">
        <f>IF(SUM(J21:L21)=0,0,SUM(J21:L21)/'Sm Comm Cust Fcst'!D22)</f>
        <v>0</v>
      </c>
      <c r="N21" s="109">
        <f>'Sm Comm Cust Fcst'!$E22*'Non-Residential TSM UC Adj'!N20</f>
        <v>0</v>
      </c>
      <c r="O21" s="23">
        <f>'Sm Comm Cust Fcst'!$E22*'Non-Residential TSM UC Adj'!O20</f>
        <v>0</v>
      </c>
      <c r="P21" s="23">
        <f>'Sm Comm Cust Fcst'!$E22*'Non-Residential TSM UC Adj'!P20</f>
        <v>0</v>
      </c>
      <c r="Q21" s="41">
        <f>IF(SUM(N21:P21)=0,0,SUM(N21:P21)/'Sm Comm Cust Fcst'!E22)</f>
        <v>0</v>
      </c>
      <c r="R21" s="109">
        <f t="shared" si="2"/>
        <v>0</v>
      </c>
      <c r="S21" s="23">
        <f t="shared" si="0"/>
        <v>0</v>
      </c>
      <c r="T21" s="23">
        <f t="shared" si="0"/>
        <v>0</v>
      </c>
      <c r="U21" s="41">
        <f>IF(SUM(R21:T21)=0,0,SUM(R21:T21)/'Sm Comm Cust Fcst'!F22)</f>
        <v>0</v>
      </c>
      <c r="V21" s="109">
        <f>'Sm Comm Cust Fcst'!$G22*'Non-Residential TSM UC Adj'!R20</f>
        <v>0</v>
      </c>
      <c r="W21" s="23">
        <f>'Sm Comm Cust Fcst'!$G22*'Non-Residential TSM UC Adj'!S20</f>
        <v>0</v>
      </c>
      <c r="X21" s="23">
        <f>'Sm Comm Cust Fcst'!$G22*'Non-Residential TSM UC Adj'!T20</f>
        <v>0</v>
      </c>
      <c r="Y21" s="41">
        <f>IF(SUM(V21:X21)=0,0,SUM(V21:X21)/'Sm Comm Cust Fcst'!G22)</f>
        <v>0</v>
      </c>
      <c r="Z21" s="109">
        <f t="shared" si="3"/>
        <v>0</v>
      </c>
      <c r="AA21" s="23">
        <f t="shared" si="1"/>
        <v>0</v>
      </c>
      <c r="AB21" s="23">
        <f t="shared" si="1"/>
        <v>0</v>
      </c>
      <c r="AC21" s="41">
        <f>IF(SUM(Z21:AB21)=0,0,SUM(Z21:AB21)/'Sm Comm Cust Fcst'!H22)</f>
        <v>0</v>
      </c>
    </row>
    <row r="22" spans="1:29">
      <c r="A22" s="124" t="s">
        <v>109</v>
      </c>
      <c r="B22" s="109">
        <f>'Sm Comm Cust Fcst'!$B23*'Non-Residential TSM UC Adj'!J21</f>
        <v>0</v>
      </c>
      <c r="C22" s="23">
        <f>'Sm Comm Cust Fcst'!$B23*'Non-Residential TSM UC Adj'!K21</f>
        <v>0</v>
      </c>
      <c r="D22" s="23">
        <f>'Sm Comm Cust Fcst'!$B23*'Non-Residential TSM UC Adj'!L21</f>
        <v>0</v>
      </c>
      <c r="E22" s="41">
        <f>IF(SUM(B22:D22)=0,0,SUM(B22:D22)/'Sm Comm Cust Fcst'!B23)</f>
        <v>0</v>
      </c>
      <c r="F22" s="109">
        <f>'Sm Comm Cust Fcst'!$C23*'Non-Residential TSM UC Adj'!J21</f>
        <v>0</v>
      </c>
      <c r="G22" s="23">
        <f>'Sm Comm Cust Fcst'!$C23*'Non-Residential TSM UC Adj'!K21</f>
        <v>0</v>
      </c>
      <c r="H22" s="23">
        <f>'Sm Comm Cust Fcst'!$C23*'Non-Residential TSM UC Adj'!L21</f>
        <v>0</v>
      </c>
      <c r="I22" s="41">
        <f>IF(SUM(F22:H22)=0,0,SUM(F22:H22)/'Sm Comm Cust Fcst'!C23)</f>
        <v>0</v>
      </c>
      <c r="J22" s="109">
        <f>'Sm Comm Cust Fcst'!$D23*'Non-Residential TSM UC Adj'!J21</f>
        <v>0</v>
      </c>
      <c r="K22" s="23">
        <f>'Sm Comm Cust Fcst'!$D23*'Non-Residential TSM UC Adj'!K21</f>
        <v>0</v>
      </c>
      <c r="L22" s="23">
        <f>'Sm Comm Cust Fcst'!$D23*'Non-Residential TSM UC Adj'!L21</f>
        <v>0</v>
      </c>
      <c r="M22" s="41">
        <f>IF(SUM(J22:L22)=0,0,SUM(J22:L22)/'Sm Comm Cust Fcst'!D23)</f>
        <v>0</v>
      </c>
      <c r="N22" s="109">
        <f>'Sm Comm Cust Fcst'!$E23*'Non-Residential TSM UC Adj'!N21</f>
        <v>0</v>
      </c>
      <c r="O22" s="23">
        <f>'Sm Comm Cust Fcst'!$E23*'Non-Residential TSM UC Adj'!O21</f>
        <v>0</v>
      </c>
      <c r="P22" s="23">
        <f>'Sm Comm Cust Fcst'!$E23*'Non-Residential TSM UC Adj'!P21</f>
        <v>0</v>
      </c>
      <c r="Q22" s="41">
        <f>IF(SUM(N22:P22)=0,0,SUM(N22:P22)/'Sm Comm Cust Fcst'!E23)</f>
        <v>0</v>
      </c>
      <c r="R22" s="109">
        <f t="shared" si="2"/>
        <v>0</v>
      </c>
      <c r="S22" s="23">
        <f t="shared" si="0"/>
        <v>0</v>
      </c>
      <c r="T22" s="23">
        <f t="shared" si="0"/>
        <v>0</v>
      </c>
      <c r="U22" s="41">
        <f>IF(SUM(R22:T22)=0,0,SUM(R22:T22)/'Sm Comm Cust Fcst'!F23)</f>
        <v>0</v>
      </c>
      <c r="V22" s="109">
        <f>'Sm Comm Cust Fcst'!$G23*'Non-Residential TSM UC Adj'!R21</f>
        <v>0</v>
      </c>
      <c r="W22" s="23">
        <f>'Sm Comm Cust Fcst'!$G23*'Non-Residential TSM UC Adj'!S21</f>
        <v>0</v>
      </c>
      <c r="X22" s="23">
        <f>'Sm Comm Cust Fcst'!$G23*'Non-Residential TSM UC Adj'!T21</f>
        <v>0</v>
      </c>
      <c r="Y22" s="41">
        <f>IF(SUM(V22:X22)=0,0,SUM(V22:X22)/'Sm Comm Cust Fcst'!G23)</f>
        <v>0</v>
      </c>
      <c r="Z22" s="109">
        <f t="shared" si="3"/>
        <v>0</v>
      </c>
      <c r="AA22" s="23">
        <f t="shared" si="1"/>
        <v>0</v>
      </c>
      <c r="AB22" s="23">
        <f t="shared" si="1"/>
        <v>0</v>
      </c>
      <c r="AC22" s="41">
        <f>IF(SUM(Z22:AB22)=0,0,SUM(Z22:AB22)/'Sm Comm Cust Fcst'!H23)</f>
        <v>0</v>
      </c>
    </row>
    <row r="23" spans="1:29">
      <c r="A23" s="124" t="s">
        <v>14</v>
      </c>
      <c r="B23" s="109">
        <f>'Sm Comm Cust Fcst'!$B24*'Non-Residential TSM UC Adj'!J22</f>
        <v>0</v>
      </c>
      <c r="C23" s="23">
        <f>'Sm Comm Cust Fcst'!$B24*'Non-Residential TSM UC Adj'!K22</f>
        <v>0</v>
      </c>
      <c r="D23" s="23">
        <f>'Sm Comm Cust Fcst'!$B24*'Non-Residential TSM UC Adj'!L22</f>
        <v>0</v>
      </c>
      <c r="E23" s="41">
        <f>IF(SUM(B23:D23)=0,0,SUM(B23:D23)/'Sm Comm Cust Fcst'!B24)</f>
        <v>0</v>
      </c>
      <c r="F23" s="109">
        <f>'Sm Comm Cust Fcst'!$C24*'Non-Residential TSM UC Adj'!J22</f>
        <v>0</v>
      </c>
      <c r="G23" s="23">
        <f>'Sm Comm Cust Fcst'!$C24*'Non-Residential TSM UC Adj'!K22</f>
        <v>0</v>
      </c>
      <c r="H23" s="23">
        <f>'Sm Comm Cust Fcst'!$C24*'Non-Residential TSM UC Adj'!L22</f>
        <v>0</v>
      </c>
      <c r="I23" s="41">
        <f>IF(SUM(F23:H23)=0,0,SUM(F23:H23)/'Sm Comm Cust Fcst'!C24)</f>
        <v>0</v>
      </c>
      <c r="J23" s="109">
        <f>'Sm Comm Cust Fcst'!$D24*'Non-Residential TSM UC Adj'!J22</f>
        <v>0</v>
      </c>
      <c r="K23" s="23">
        <f>'Sm Comm Cust Fcst'!$D24*'Non-Residential TSM UC Adj'!K22</f>
        <v>0</v>
      </c>
      <c r="L23" s="23">
        <f>'Sm Comm Cust Fcst'!$D24*'Non-Residential TSM UC Adj'!L22</f>
        <v>0</v>
      </c>
      <c r="M23" s="41">
        <f>IF(SUM(J23:L23)=0,0,SUM(J23:L23)/'Sm Comm Cust Fcst'!D24)</f>
        <v>0</v>
      </c>
      <c r="N23" s="109">
        <f>'Sm Comm Cust Fcst'!$E24*'Non-Residential TSM UC Adj'!N22</f>
        <v>0</v>
      </c>
      <c r="O23" s="23">
        <f>'Sm Comm Cust Fcst'!$E24*'Non-Residential TSM UC Adj'!O22</f>
        <v>0</v>
      </c>
      <c r="P23" s="23">
        <f>'Sm Comm Cust Fcst'!$E24*'Non-Residential TSM UC Adj'!P22</f>
        <v>0</v>
      </c>
      <c r="Q23" s="41">
        <f>IF(SUM(N23:P23)=0,0,SUM(N23:P23)/'Sm Comm Cust Fcst'!E24)</f>
        <v>0</v>
      </c>
      <c r="R23" s="109">
        <f t="shared" si="2"/>
        <v>0</v>
      </c>
      <c r="S23" s="23">
        <f t="shared" si="0"/>
        <v>0</v>
      </c>
      <c r="T23" s="23">
        <f t="shared" si="0"/>
        <v>0</v>
      </c>
      <c r="U23" s="41">
        <f>IF(SUM(R23:T23)=0,0,SUM(R23:T23)/'Sm Comm Cust Fcst'!F24)</f>
        <v>0</v>
      </c>
      <c r="V23" s="109">
        <f>'Sm Comm Cust Fcst'!$G24*'Non-Residential TSM UC Adj'!R22</f>
        <v>0</v>
      </c>
      <c r="W23" s="23">
        <f>'Sm Comm Cust Fcst'!$G24*'Non-Residential TSM UC Adj'!S22</f>
        <v>0</v>
      </c>
      <c r="X23" s="23">
        <f>'Sm Comm Cust Fcst'!$G24*'Non-Residential TSM UC Adj'!T22</f>
        <v>0</v>
      </c>
      <c r="Y23" s="41">
        <f>IF(SUM(V23:X23)=0,0,SUM(V23:X23)/'Sm Comm Cust Fcst'!G24)</f>
        <v>0</v>
      </c>
      <c r="Z23" s="109">
        <f t="shared" si="3"/>
        <v>0</v>
      </c>
      <c r="AA23" s="23">
        <f t="shared" si="1"/>
        <v>0</v>
      </c>
      <c r="AB23" s="23">
        <f t="shared" si="1"/>
        <v>0</v>
      </c>
      <c r="AC23" s="41">
        <f>IF(SUM(Z23:AB23)=0,0,SUM(Z23:AB23)/'Sm Comm Cust Fcst'!H24)</f>
        <v>0</v>
      </c>
    </row>
    <row r="24" spans="1:29">
      <c r="A24" s="124" t="s">
        <v>15</v>
      </c>
      <c r="B24" s="109">
        <f>'Sm Comm Cust Fcst'!$B25*'Non-Residential TSM UC Adj'!J23</f>
        <v>0</v>
      </c>
      <c r="C24" s="23">
        <f>'Sm Comm Cust Fcst'!$B25*'Non-Residential TSM UC Adj'!K23</f>
        <v>0</v>
      </c>
      <c r="D24" s="23">
        <f>'Sm Comm Cust Fcst'!$B25*'Non-Residential TSM UC Adj'!L23</f>
        <v>0</v>
      </c>
      <c r="E24" s="41">
        <f>IF(SUM(B24:D24)=0,0,SUM(B24:D24)/'Sm Comm Cust Fcst'!B25)</f>
        <v>0</v>
      </c>
      <c r="F24" s="109">
        <f>'Sm Comm Cust Fcst'!$C25*'Non-Residential TSM UC Adj'!J23</f>
        <v>0</v>
      </c>
      <c r="G24" s="23">
        <f>'Sm Comm Cust Fcst'!$C25*'Non-Residential TSM UC Adj'!K23</f>
        <v>0</v>
      </c>
      <c r="H24" s="23">
        <f>'Sm Comm Cust Fcst'!$C25*'Non-Residential TSM UC Adj'!L23</f>
        <v>0</v>
      </c>
      <c r="I24" s="41">
        <f>IF(SUM(F24:H24)=0,0,SUM(F24:H24)/'Sm Comm Cust Fcst'!C25)</f>
        <v>0</v>
      </c>
      <c r="J24" s="109">
        <f>'Sm Comm Cust Fcst'!$D25*'Non-Residential TSM UC Adj'!J23</f>
        <v>0</v>
      </c>
      <c r="K24" s="23">
        <f>'Sm Comm Cust Fcst'!$D25*'Non-Residential TSM UC Adj'!K23</f>
        <v>0</v>
      </c>
      <c r="L24" s="23">
        <f>'Sm Comm Cust Fcst'!$D25*'Non-Residential TSM UC Adj'!L23</f>
        <v>0</v>
      </c>
      <c r="M24" s="41">
        <f>IF(SUM(J24:L24)=0,0,SUM(J24:L24)/'Sm Comm Cust Fcst'!D25)</f>
        <v>0</v>
      </c>
      <c r="N24" s="109">
        <f>'Sm Comm Cust Fcst'!$E25*'Non-Residential TSM UC Adj'!N23</f>
        <v>0</v>
      </c>
      <c r="O24" s="23">
        <f>'Sm Comm Cust Fcst'!$E25*'Non-Residential TSM UC Adj'!O23</f>
        <v>0</v>
      </c>
      <c r="P24" s="23">
        <f>'Sm Comm Cust Fcst'!$E25*'Non-Residential TSM UC Adj'!P23</f>
        <v>0</v>
      </c>
      <c r="Q24" s="41">
        <f>IF(SUM(N24:P24)=0,0,SUM(N24:P24)/'Sm Comm Cust Fcst'!E25)</f>
        <v>0</v>
      </c>
      <c r="R24" s="109">
        <f t="shared" si="2"/>
        <v>0</v>
      </c>
      <c r="S24" s="23">
        <f t="shared" si="2"/>
        <v>0</v>
      </c>
      <c r="T24" s="23">
        <f t="shared" si="2"/>
        <v>0</v>
      </c>
      <c r="U24" s="41">
        <f>IF(SUM(R24:T24)=0,0,SUM(R24:T24)/'Sm Comm Cust Fcst'!F25)</f>
        <v>0</v>
      </c>
      <c r="V24" s="109">
        <f>'Sm Comm Cust Fcst'!$G25*'Non-Residential TSM UC Adj'!R23</f>
        <v>0</v>
      </c>
      <c r="W24" s="23">
        <f>'Sm Comm Cust Fcst'!$G25*'Non-Residential TSM UC Adj'!S23</f>
        <v>0</v>
      </c>
      <c r="X24" s="23">
        <f>'Sm Comm Cust Fcst'!$G25*'Non-Residential TSM UC Adj'!T23</f>
        <v>0</v>
      </c>
      <c r="Y24" s="41">
        <f>IF(SUM(V24:X24)=0,0,SUM(V24:X24)/'Sm Comm Cust Fcst'!G25)</f>
        <v>0</v>
      </c>
      <c r="Z24" s="109">
        <f t="shared" si="3"/>
        <v>0</v>
      </c>
      <c r="AA24" s="23">
        <f t="shared" si="3"/>
        <v>0</v>
      </c>
      <c r="AB24" s="23">
        <f t="shared" si="3"/>
        <v>0</v>
      </c>
      <c r="AC24" s="41">
        <f>IF(SUM(Z24:AB24)=0,0,SUM(Z24:AB24)/'Sm Comm Cust Fcst'!H25)</f>
        <v>0</v>
      </c>
    </row>
    <row r="25" spans="1:29">
      <c r="A25" s="124" t="s">
        <v>16</v>
      </c>
      <c r="B25" s="109">
        <f>'Sm Comm Cust Fcst'!$B26*'Non-Residential TSM UC Adj'!J24</f>
        <v>0</v>
      </c>
      <c r="C25" s="23">
        <f>'Sm Comm Cust Fcst'!$B26*'Non-Residential TSM UC Adj'!K24</f>
        <v>0</v>
      </c>
      <c r="D25" s="23">
        <f>'Sm Comm Cust Fcst'!$B26*'Non-Residential TSM UC Adj'!L24</f>
        <v>0</v>
      </c>
      <c r="E25" s="41">
        <f>IF(SUM(B25:D25)=0,0,SUM(B25:D25)/'Sm Comm Cust Fcst'!B26)</f>
        <v>0</v>
      </c>
      <c r="F25" s="109">
        <f>'Sm Comm Cust Fcst'!$C26*'Non-Residential TSM UC Adj'!J24</f>
        <v>0</v>
      </c>
      <c r="G25" s="23">
        <f>'Sm Comm Cust Fcst'!$C26*'Non-Residential TSM UC Adj'!K24</f>
        <v>0</v>
      </c>
      <c r="H25" s="23">
        <f>'Sm Comm Cust Fcst'!$C26*'Non-Residential TSM UC Adj'!L24</f>
        <v>0</v>
      </c>
      <c r="I25" s="41">
        <f>IF(SUM(F25:H25)=0,0,SUM(F25:H25)/'Sm Comm Cust Fcst'!C26)</f>
        <v>0</v>
      </c>
      <c r="J25" s="109">
        <f>'Sm Comm Cust Fcst'!$D26*'Non-Residential TSM UC Adj'!J24</f>
        <v>0</v>
      </c>
      <c r="K25" s="23">
        <f>'Sm Comm Cust Fcst'!$D26*'Non-Residential TSM UC Adj'!K24</f>
        <v>0</v>
      </c>
      <c r="L25" s="23">
        <f>'Sm Comm Cust Fcst'!$D26*'Non-Residential TSM UC Adj'!L24</f>
        <v>0</v>
      </c>
      <c r="M25" s="41">
        <f>IF(SUM(J25:L25)=0,0,SUM(J25:L25)/'Sm Comm Cust Fcst'!D26)</f>
        <v>0</v>
      </c>
      <c r="N25" s="109">
        <f>'Sm Comm Cust Fcst'!$E26*'Non-Residential TSM UC Adj'!N24</f>
        <v>0</v>
      </c>
      <c r="O25" s="23">
        <f>'Sm Comm Cust Fcst'!$E26*'Non-Residential TSM UC Adj'!O24</f>
        <v>0</v>
      </c>
      <c r="P25" s="23">
        <f>'Sm Comm Cust Fcst'!$E26*'Non-Residential TSM UC Adj'!P24</f>
        <v>0</v>
      </c>
      <c r="Q25" s="41">
        <f>IF(SUM(N25:P25)=0,0,SUM(N25:P25)/'Sm Comm Cust Fcst'!E26)</f>
        <v>0</v>
      </c>
      <c r="R25" s="109">
        <f t="shared" si="2"/>
        <v>0</v>
      </c>
      <c r="S25" s="23">
        <f t="shared" si="2"/>
        <v>0</v>
      </c>
      <c r="T25" s="23">
        <f t="shared" si="2"/>
        <v>0</v>
      </c>
      <c r="U25" s="41">
        <f>IF(SUM(R25:T25)=0,0,SUM(R25:T25)/'Sm Comm Cust Fcst'!F26)</f>
        <v>0</v>
      </c>
      <c r="V25" s="109">
        <f>'Sm Comm Cust Fcst'!$G26*'Non-Residential TSM UC Adj'!R24</f>
        <v>0</v>
      </c>
      <c r="W25" s="23">
        <f>'Sm Comm Cust Fcst'!$G26*'Non-Residential TSM UC Adj'!S24</f>
        <v>0</v>
      </c>
      <c r="X25" s="23">
        <f>'Sm Comm Cust Fcst'!$G26*'Non-Residential TSM UC Adj'!T24</f>
        <v>0</v>
      </c>
      <c r="Y25" s="41">
        <f>IF(SUM(V25:X25)=0,0,SUM(V25:X25)/'Sm Comm Cust Fcst'!G26)</f>
        <v>0</v>
      </c>
      <c r="Z25" s="109">
        <f t="shared" si="3"/>
        <v>0</v>
      </c>
      <c r="AA25" s="23">
        <f t="shared" si="3"/>
        <v>0</v>
      </c>
      <c r="AB25" s="23">
        <f t="shared" si="3"/>
        <v>0</v>
      </c>
      <c r="AC25" s="41">
        <f>IF(SUM(Z25:AB25)=0,0,SUM(Z25:AB25)/'Sm Comm Cust Fcst'!H26)</f>
        <v>0</v>
      </c>
    </row>
    <row r="26" spans="1:29">
      <c r="A26" s="124" t="s">
        <v>17</v>
      </c>
      <c r="B26" s="109">
        <f>'Sm Comm Cust Fcst'!$B27*'Non-Residential TSM UC Adj'!J25</f>
        <v>0</v>
      </c>
      <c r="C26" s="23">
        <f>'Sm Comm Cust Fcst'!$B27*'Non-Residential TSM UC Adj'!K25</f>
        <v>0</v>
      </c>
      <c r="D26" s="23">
        <f>'Sm Comm Cust Fcst'!$B27*'Non-Residential TSM UC Adj'!L25</f>
        <v>0</v>
      </c>
      <c r="E26" s="41">
        <f>IF(SUM(B26:D26)=0,0,SUM(B26:D26)/'Sm Comm Cust Fcst'!B27)</f>
        <v>0</v>
      </c>
      <c r="F26" s="109">
        <f>'Sm Comm Cust Fcst'!$C27*'Non-Residential TSM UC Adj'!J25</f>
        <v>0</v>
      </c>
      <c r="G26" s="23">
        <f>'Sm Comm Cust Fcst'!$C27*'Non-Residential TSM UC Adj'!K25</f>
        <v>0</v>
      </c>
      <c r="H26" s="23">
        <f>'Sm Comm Cust Fcst'!$C27*'Non-Residential TSM UC Adj'!L25</f>
        <v>0</v>
      </c>
      <c r="I26" s="41">
        <f>IF(SUM(F26:H26)=0,0,SUM(F26:H26)/'Sm Comm Cust Fcst'!C27)</f>
        <v>0</v>
      </c>
      <c r="J26" s="109">
        <f>'Sm Comm Cust Fcst'!$D27*'Non-Residential TSM UC Adj'!J25</f>
        <v>0</v>
      </c>
      <c r="K26" s="23">
        <f>'Sm Comm Cust Fcst'!$D27*'Non-Residential TSM UC Adj'!K25</f>
        <v>0</v>
      </c>
      <c r="L26" s="23">
        <f>'Sm Comm Cust Fcst'!$D27*'Non-Residential TSM UC Adj'!L25</f>
        <v>0</v>
      </c>
      <c r="M26" s="41">
        <f>IF(SUM(J26:L26)=0,0,SUM(J26:L26)/'Sm Comm Cust Fcst'!D27)</f>
        <v>0</v>
      </c>
      <c r="N26" s="109">
        <f>'Sm Comm Cust Fcst'!$E27*'Non-Residential TSM UC Adj'!N25</f>
        <v>0</v>
      </c>
      <c r="O26" s="23">
        <f>'Sm Comm Cust Fcst'!$E27*'Non-Residential TSM UC Adj'!O25</f>
        <v>0</v>
      </c>
      <c r="P26" s="23">
        <f>'Sm Comm Cust Fcst'!$E27*'Non-Residential TSM UC Adj'!P25</f>
        <v>0</v>
      </c>
      <c r="Q26" s="41">
        <f>IF(SUM(N26:P26)=0,0,SUM(N26:P26)/'Sm Comm Cust Fcst'!E27)</f>
        <v>0</v>
      </c>
      <c r="R26" s="109">
        <f t="shared" si="2"/>
        <v>0</v>
      </c>
      <c r="S26" s="23">
        <f t="shared" si="2"/>
        <v>0</v>
      </c>
      <c r="T26" s="23">
        <f t="shared" si="2"/>
        <v>0</v>
      </c>
      <c r="U26" s="41">
        <f>IF(SUM(R26:T26)=0,0,SUM(R26:T26)/'Sm Comm Cust Fcst'!F27)</f>
        <v>0</v>
      </c>
      <c r="V26" s="109">
        <f>'Sm Comm Cust Fcst'!$G27*'Non-Residential TSM UC Adj'!R25</f>
        <v>0</v>
      </c>
      <c r="W26" s="23">
        <f>'Sm Comm Cust Fcst'!$G27*'Non-Residential TSM UC Adj'!S25</f>
        <v>0</v>
      </c>
      <c r="X26" s="23">
        <f>'Sm Comm Cust Fcst'!$G27*'Non-Residential TSM UC Adj'!T25</f>
        <v>0</v>
      </c>
      <c r="Y26" s="41">
        <f>IF(SUM(V26:X26)=0,0,SUM(V26:X26)/'Sm Comm Cust Fcst'!G27)</f>
        <v>0</v>
      </c>
      <c r="Z26" s="109">
        <f t="shared" si="3"/>
        <v>0</v>
      </c>
      <c r="AA26" s="23">
        <f t="shared" si="3"/>
        <v>0</v>
      </c>
      <c r="AB26" s="23">
        <f t="shared" si="3"/>
        <v>0</v>
      </c>
      <c r="AC26" s="41">
        <f>IF(SUM(Z26:AB26)=0,0,SUM(Z26:AB26)/'Sm Comm Cust Fcst'!H27)</f>
        <v>0</v>
      </c>
    </row>
    <row r="27" spans="1:29">
      <c r="A27" s="124" t="s">
        <v>18</v>
      </c>
      <c r="B27" s="109">
        <f>'Sm Comm Cust Fcst'!$B28*'Non-Residential TSM UC Adj'!J26</f>
        <v>0</v>
      </c>
      <c r="C27" s="23">
        <f>'Sm Comm Cust Fcst'!$B28*'Non-Residential TSM UC Adj'!K26</f>
        <v>0</v>
      </c>
      <c r="D27" s="23">
        <f>'Sm Comm Cust Fcst'!$B28*'Non-Residential TSM UC Adj'!L26</f>
        <v>0</v>
      </c>
      <c r="E27" s="41">
        <f>IF(SUM(B27:D27)=0,0,SUM(B27:D27)/'Sm Comm Cust Fcst'!B28)</f>
        <v>0</v>
      </c>
      <c r="F27" s="109">
        <f>'Sm Comm Cust Fcst'!$C28*'Non-Residential TSM UC Adj'!J26</f>
        <v>0</v>
      </c>
      <c r="G27" s="23">
        <f>'Sm Comm Cust Fcst'!$C28*'Non-Residential TSM UC Adj'!K26</f>
        <v>0</v>
      </c>
      <c r="H27" s="23">
        <f>'Sm Comm Cust Fcst'!$C28*'Non-Residential TSM UC Adj'!L26</f>
        <v>0</v>
      </c>
      <c r="I27" s="41">
        <f>IF(SUM(F27:H27)=0,0,SUM(F27:H27)/'Sm Comm Cust Fcst'!C28)</f>
        <v>0</v>
      </c>
      <c r="J27" s="109">
        <f>'Sm Comm Cust Fcst'!$D28*'Non-Residential TSM UC Adj'!J26</f>
        <v>0</v>
      </c>
      <c r="K27" s="23">
        <f>'Sm Comm Cust Fcst'!$D28*'Non-Residential TSM UC Adj'!K26</f>
        <v>0</v>
      </c>
      <c r="L27" s="23">
        <f>'Sm Comm Cust Fcst'!$D28*'Non-Residential TSM UC Adj'!L26</f>
        <v>0</v>
      </c>
      <c r="M27" s="41">
        <f>IF(SUM(J27:L27)=0,0,SUM(J27:L27)/'Sm Comm Cust Fcst'!D28)</f>
        <v>0</v>
      </c>
      <c r="N27" s="109">
        <f>'Sm Comm Cust Fcst'!$E28*'Non-Residential TSM UC Adj'!N26</f>
        <v>0</v>
      </c>
      <c r="O27" s="23">
        <f>'Sm Comm Cust Fcst'!$E28*'Non-Residential TSM UC Adj'!O26</f>
        <v>0</v>
      </c>
      <c r="P27" s="23">
        <f>'Sm Comm Cust Fcst'!$E28*'Non-Residential TSM UC Adj'!P26</f>
        <v>0</v>
      </c>
      <c r="Q27" s="41">
        <f>IF(SUM(N27:P27)=0,0,SUM(N27:P27)/'Sm Comm Cust Fcst'!E28)</f>
        <v>0</v>
      </c>
      <c r="R27" s="109">
        <f t="shared" si="2"/>
        <v>0</v>
      </c>
      <c r="S27" s="23">
        <f t="shared" si="2"/>
        <v>0</v>
      </c>
      <c r="T27" s="23">
        <f t="shared" si="2"/>
        <v>0</v>
      </c>
      <c r="U27" s="41">
        <f>IF(SUM(R27:T27)=0,0,SUM(R27:T27)/'Sm Comm Cust Fcst'!F28)</f>
        <v>0</v>
      </c>
      <c r="V27" s="109">
        <f>'Sm Comm Cust Fcst'!$G28*'Non-Residential TSM UC Adj'!R26</f>
        <v>0</v>
      </c>
      <c r="W27" s="23">
        <f>'Sm Comm Cust Fcst'!$G28*'Non-Residential TSM UC Adj'!S26</f>
        <v>0</v>
      </c>
      <c r="X27" s="23">
        <f>'Sm Comm Cust Fcst'!$G28*'Non-Residential TSM UC Adj'!T26</f>
        <v>0</v>
      </c>
      <c r="Y27" s="41">
        <f>IF(SUM(V27:X27)=0,0,SUM(V27:X27)/'Sm Comm Cust Fcst'!G28)</f>
        <v>0</v>
      </c>
      <c r="Z27" s="109">
        <f t="shared" si="3"/>
        <v>0</v>
      </c>
      <c r="AA27" s="23">
        <f t="shared" si="3"/>
        <v>0</v>
      </c>
      <c r="AB27" s="23">
        <f t="shared" si="3"/>
        <v>0</v>
      </c>
      <c r="AC27" s="41">
        <f>IF(SUM(Z27:AB27)=0,0,SUM(Z27:AB27)/'Sm Comm Cust Fcst'!H28)</f>
        <v>0</v>
      </c>
    </row>
    <row r="28" spans="1:29">
      <c r="A28" s="124" t="s">
        <v>19</v>
      </c>
      <c r="B28" s="109">
        <f>'Sm Comm Cust Fcst'!$B29*'Non-Residential TSM UC Adj'!J27</f>
        <v>0</v>
      </c>
      <c r="C28" s="23">
        <f>'Sm Comm Cust Fcst'!$B29*'Non-Residential TSM UC Adj'!K27</f>
        <v>0</v>
      </c>
      <c r="D28" s="23">
        <f>'Sm Comm Cust Fcst'!$B29*'Non-Residential TSM UC Adj'!L27</f>
        <v>0</v>
      </c>
      <c r="E28" s="41">
        <f>IF(SUM(B28:D28)=0,0,SUM(B28:D28)/'Sm Comm Cust Fcst'!B29)</f>
        <v>0</v>
      </c>
      <c r="F28" s="109">
        <f>'Sm Comm Cust Fcst'!$C29*'Non-Residential TSM UC Adj'!J27</f>
        <v>0</v>
      </c>
      <c r="G28" s="23">
        <f>'Sm Comm Cust Fcst'!$C29*'Non-Residential TSM UC Adj'!K27</f>
        <v>0</v>
      </c>
      <c r="H28" s="23">
        <f>'Sm Comm Cust Fcst'!$C29*'Non-Residential TSM UC Adj'!L27</f>
        <v>0</v>
      </c>
      <c r="I28" s="41">
        <f>IF(SUM(F28:H28)=0,0,SUM(F28:H28)/'Sm Comm Cust Fcst'!C29)</f>
        <v>0</v>
      </c>
      <c r="J28" s="109">
        <f>'Sm Comm Cust Fcst'!$D29*'Non-Residential TSM UC Adj'!J27</f>
        <v>0</v>
      </c>
      <c r="K28" s="23">
        <f>'Sm Comm Cust Fcst'!$D29*'Non-Residential TSM UC Adj'!K27</f>
        <v>0</v>
      </c>
      <c r="L28" s="23">
        <f>'Sm Comm Cust Fcst'!$D29*'Non-Residential TSM UC Adj'!L27</f>
        <v>0</v>
      </c>
      <c r="M28" s="41">
        <f>IF(SUM(J28:L28)=0,0,SUM(J28:L28)/'Sm Comm Cust Fcst'!D29)</f>
        <v>0</v>
      </c>
      <c r="N28" s="109">
        <f>'Sm Comm Cust Fcst'!$E29*'Non-Residential TSM UC Adj'!N27</f>
        <v>0</v>
      </c>
      <c r="O28" s="23">
        <f>'Sm Comm Cust Fcst'!$E29*'Non-Residential TSM UC Adj'!O27</f>
        <v>0</v>
      </c>
      <c r="P28" s="23">
        <f>'Sm Comm Cust Fcst'!$E29*'Non-Residential TSM UC Adj'!P27</f>
        <v>0</v>
      </c>
      <c r="Q28" s="41">
        <f>IF(SUM(N28:P28)=0,0,SUM(N28:P28)/'Sm Comm Cust Fcst'!E29)</f>
        <v>0</v>
      </c>
      <c r="R28" s="109">
        <f t="shared" si="2"/>
        <v>0</v>
      </c>
      <c r="S28" s="23">
        <f t="shared" si="2"/>
        <v>0</v>
      </c>
      <c r="T28" s="23">
        <f t="shared" si="2"/>
        <v>0</v>
      </c>
      <c r="U28" s="41">
        <f>IF(SUM(R28:T28)=0,0,SUM(R28:T28)/'Sm Comm Cust Fcst'!F29)</f>
        <v>0</v>
      </c>
      <c r="V28" s="109">
        <f>'Sm Comm Cust Fcst'!$G29*'Non-Residential TSM UC Adj'!R27</f>
        <v>0</v>
      </c>
      <c r="W28" s="23">
        <f>'Sm Comm Cust Fcst'!$G29*'Non-Residential TSM UC Adj'!S27</f>
        <v>0</v>
      </c>
      <c r="X28" s="23">
        <f>'Sm Comm Cust Fcst'!$G29*'Non-Residential TSM UC Adj'!T27</f>
        <v>0</v>
      </c>
      <c r="Y28" s="41">
        <f>IF(SUM(V28:X28)=0,0,SUM(V28:X28)/'Sm Comm Cust Fcst'!G29)</f>
        <v>0</v>
      </c>
      <c r="Z28" s="109">
        <f t="shared" si="3"/>
        <v>0</v>
      </c>
      <c r="AA28" s="23">
        <f t="shared" si="3"/>
        <v>0</v>
      </c>
      <c r="AB28" s="23">
        <f t="shared" si="3"/>
        <v>0</v>
      </c>
      <c r="AC28" s="41">
        <f>IF(SUM(Z28:AB28)=0,0,SUM(Z28:AB28)/'Sm Comm Cust Fcst'!H29)</f>
        <v>0</v>
      </c>
    </row>
    <row r="29" spans="1:29">
      <c r="A29" s="124" t="s">
        <v>20</v>
      </c>
      <c r="B29" s="109">
        <f>'Sm Comm Cust Fcst'!$B30*'Non-Residential TSM UC Adj'!J28</f>
        <v>0</v>
      </c>
      <c r="C29" s="23">
        <f>'Sm Comm Cust Fcst'!$B30*'Non-Residential TSM UC Adj'!K28</f>
        <v>0</v>
      </c>
      <c r="D29" s="23">
        <f>'Sm Comm Cust Fcst'!$B30*'Non-Residential TSM UC Adj'!L28</f>
        <v>0</v>
      </c>
      <c r="E29" s="41">
        <f>IF(SUM(B29:D29)=0,0,SUM(B29:D29)/'Sm Comm Cust Fcst'!B30)</f>
        <v>0</v>
      </c>
      <c r="F29" s="109">
        <f>'Sm Comm Cust Fcst'!$C30*'Non-Residential TSM UC Adj'!J28</f>
        <v>0</v>
      </c>
      <c r="G29" s="23">
        <f>'Sm Comm Cust Fcst'!$C30*'Non-Residential TSM UC Adj'!K28</f>
        <v>0</v>
      </c>
      <c r="H29" s="23">
        <f>'Sm Comm Cust Fcst'!$C30*'Non-Residential TSM UC Adj'!L28</f>
        <v>0</v>
      </c>
      <c r="I29" s="41">
        <f>IF(SUM(F29:H29)=0,0,SUM(F29:H29)/'Sm Comm Cust Fcst'!C30)</f>
        <v>0</v>
      </c>
      <c r="J29" s="109">
        <f>'Sm Comm Cust Fcst'!$D30*'Non-Residential TSM UC Adj'!J28</f>
        <v>0</v>
      </c>
      <c r="K29" s="23">
        <f>'Sm Comm Cust Fcst'!$D30*'Non-Residential TSM UC Adj'!K28</f>
        <v>0</v>
      </c>
      <c r="L29" s="23">
        <f>'Sm Comm Cust Fcst'!$D30*'Non-Residential TSM UC Adj'!L28</f>
        <v>0</v>
      </c>
      <c r="M29" s="41">
        <f>IF(SUM(J29:L29)=0,0,SUM(J29:L29)/'Sm Comm Cust Fcst'!D30)</f>
        <v>0</v>
      </c>
      <c r="N29" s="109">
        <f>'Sm Comm Cust Fcst'!$E30*'Non-Residential TSM UC Adj'!N28</f>
        <v>0</v>
      </c>
      <c r="O29" s="23">
        <f>'Sm Comm Cust Fcst'!$E30*'Non-Residential TSM UC Adj'!O28</f>
        <v>0</v>
      </c>
      <c r="P29" s="23">
        <f>'Sm Comm Cust Fcst'!$E30*'Non-Residential TSM UC Adj'!P28</f>
        <v>0</v>
      </c>
      <c r="Q29" s="41">
        <f>IF(SUM(N29:P29)=0,0,SUM(N29:P29)/'Sm Comm Cust Fcst'!E30)</f>
        <v>0</v>
      </c>
      <c r="R29" s="109">
        <f t="shared" si="2"/>
        <v>0</v>
      </c>
      <c r="S29" s="23">
        <f t="shared" si="2"/>
        <v>0</v>
      </c>
      <c r="T29" s="23">
        <f t="shared" si="2"/>
        <v>0</v>
      </c>
      <c r="U29" s="41">
        <f>IF(SUM(R29:T29)=0,0,SUM(R29:T29)/'Sm Comm Cust Fcst'!F30)</f>
        <v>0</v>
      </c>
      <c r="V29" s="109">
        <f>'Sm Comm Cust Fcst'!$G30*'Non-Residential TSM UC Adj'!R28</f>
        <v>0</v>
      </c>
      <c r="W29" s="23">
        <f>'Sm Comm Cust Fcst'!$G30*'Non-Residential TSM UC Adj'!S28</f>
        <v>0</v>
      </c>
      <c r="X29" s="23">
        <f>'Sm Comm Cust Fcst'!$G30*'Non-Residential TSM UC Adj'!T28</f>
        <v>0</v>
      </c>
      <c r="Y29" s="41">
        <f>IF(SUM(V29:X29)=0,0,SUM(V29:X29)/'Sm Comm Cust Fcst'!G30)</f>
        <v>0</v>
      </c>
      <c r="Z29" s="109">
        <f t="shared" si="3"/>
        <v>0</v>
      </c>
      <c r="AA29" s="23">
        <f t="shared" si="3"/>
        <v>0</v>
      </c>
      <c r="AB29" s="23">
        <f t="shared" si="3"/>
        <v>0</v>
      </c>
      <c r="AC29" s="41">
        <f>IF(SUM(Z29:AB29)=0,0,SUM(Z29:AB29)/'Sm Comm Cust Fcst'!H30)</f>
        <v>0</v>
      </c>
    </row>
    <row r="30" spans="1:29">
      <c r="A30" s="124" t="s">
        <v>21</v>
      </c>
      <c r="B30" s="109">
        <f>'Sm Comm Cust Fcst'!$B31*'Non-Residential TSM UC Adj'!J29</f>
        <v>0</v>
      </c>
      <c r="C30" s="23">
        <f>'Sm Comm Cust Fcst'!$B31*'Non-Residential TSM UC Adj'!K29</f>
        <v>0</v>
      </c>
      <c r="D30" s="23">
        <f>'Sm Comm Cust Fcst'!$B31*'Non-Residential TSM UC Adj'!L29</f>
        <v>0</v>
      </c>
      <c r="E30" s="41">
        <f>IF(SUM(B30:D30)=0,0,SUM(B30:D30)/'Sm Comm Cust Fcst'!B31)</f>
        <v>0</v>
      </c>
      <c r="F30" s="109">
        <f>'Sm Comm Cust Fcst'!$C31*'Non-Residential TSM UC Adj'!J29</f>
        <v>0</v>
      </c>
      <c r="G30" s="23">
        <f>'Sm Comm Cust Fcst'!$C31*'Non-Residential TSM UC Adj'!K29</f>
        <v>0</v>
      </c>
      <c r="H30" s="23">
        <f>'Sm Comm Cust Fcst'!$C31*'Non-Residential TSM UC Adj'!L29</f>
        <v>0</v>
      </c>
      <c r="I30" s="41">
        <f>IF(SUM(F30:H30)=0,0,SUM(F30:H30)/'Sm Comm Cust Fcst'!C31)</f>
        <v>0</v>
      </c>
      <c r="J30" s="109">
        <f>'Sm Comm Cust Fcst'!$D31*'Non-Residential TSM UC Adj'!J29</f>
        <v>0</v>
      </c>
      <c r="K30" s="23">
        <f>'Sm Comm Cust Fcst'!$D31*'Non-Residential TSM UC Adj'!K29</f>
        <v>0</v>
      </c>
      <c r="L30" s="23">
        <f>'Sm Comm Cust Fcst'!$D31*'Non-Residential TSM UC Adj'!L29</f>
        <v>0</v>
      </c>
      <c r="M30" s="41">
        <f>IF(SUM(J30:L30)=0,0,SUM(J30:L30)/'Sm Comm Cust Fcst'!D31)</f>
        <v>0</v>
      </c>
      <c r="N30" s="109">
        <f>'Sm Comm Cust Fcst'!$E31*'Non-Residential TSM UC Adj'!N29</f>
        <v>0</v>
      </c>
      <c r="O30" s="23">
        <f>'Sm Comm Cust Fcst'!$E31*'Non-Residential TSM UC Adj'!O29</f>
        <v>0</v>
      </c>
      <c r="P30" s="23">
        <f>'Sm Comm Cust Fcst'!$E31*'Non-Residential TSM UC Adj'!P29</f>
        <v>0</v>
      </c>
      <c r="Q30" s="41">
        <f>IF(SUM(N30:P30)=0,0,SUM(N30:P30)/'Sm Comm Cust Fcst'!E31)</f>
        <v>0</v>
      </c>
      <c r="R30" s="109">
        <f t="shared" si="2"/>
        <v>0</v>
      </c>
      <c r="S30" s="23">
        <f t="shared" si="2"/>
        <v>0</v>
      </c>
      <c r="T30" s="23">
        <f t="shared" si="2"/>
        <v>0</v>
      </c>
      <c r="U30" s="41">
        <f>IF(SUM(R30:T30)=0,0,SUM(R30:T30)/'Sm Comm Cust Fcst'!F31)</f>
        <v>0</v>
      </c>
      <c r="V30" s="109">
        <f>'Sm Comm Cust Fcst'!$G31*'Non-Residential TSM UC Adj'!R29</f>
        <v>0</v>
      </c>
      <c r="W30" s="23">
        <f>'Sm Comm Cust Fcst'!$G31*'Non-Residential TSM UC Adj'!S29</f>
        <v>0</v>
      </c>
      <c r="X30" s="23">
        <f>'Sm Comm Cust Fcst'!$G31*'Non-Residential TSM UC Adj'!T29</f>
        <v>0</v>
      </c>
      <c r="Y30" s="41">
        <f>IF(SUM(V30:X30)=0,0,SUM(V30:X30)/'Sm Comm Cust Fcst'!G31)</f>
        <v>0</v>
      </c>
      <c r="Z30" s="109">
        <f t="shared" si="3"/>
        <v>0</v>
      </c>
      <c r="AA30" s="23">
        <f t="shared" si="3"/>
        <v>0</v>
      </c>
      <c r="AB30" s="23">
        <f t="shared" si="3"/>
        <v>0</v>
      </c>
      <c r="AC30" s="41">
        <f>IF(SUM(Z30:AB30)=0,0,SUM(Z30:AB30)/'Sm Comm Cust Fcst'!H31)</f>
        <v>0</v>
      </c>
    </row>
    <row r="31" spans="1:29">
      <c r="A31" s="124" t="s">
        <v>22</v>
      </c>
      <c r="B31" s="109">
        <f>'Sm Comm Cust Fcst'!$B32*'Non-Residential TSM UC Adj'!J30</f>
        <v>0</v>
      </c>
      <c r="C31" s="23">
        <f>'Sm Comm Cust Fcst'!$B32*'Non-Residential TSM UC Adj'!K30</f>
        <v>0</v>
      </c>
      <c r="D31" s="23">
        <f>'Sm Comm Cust Fcst'!$B32*'Non-Residential TSM UC Adj'!L30</f>
        <v>0</v>
      </c>
      <c r="E31" s="41">
        <f>IF(SUM(B31:D31)=0,0,SUM(B31:D31)/'Sm Comm Cust Fcst'!B32)</f>
        <v>0</v>
      </c>
      <c r="F31" s="109">
        <f>'Sm Comm Cust Fcst'!$C32*'Non-Residential TSM UC Adj'!J30</f>
        <v>0</v>
      </c>
      <c r="G31" s="23">
        <f>'Sm Comm Cust Fcst'!$C32*'Non-Residential TSM UC Adj'!K30</f>
        <v>0</v>
      </c>
      <c r="H31" s="23">
        <f>'Sm Comm Cust Fcst'!$C32*'Non-Residential TSM UC Adj'!L30</f>
        <v>0</v>
      </c>
      <c r="I31" s="41">
        <f>IF(SUM(F31:H31)=0,0,SUM(F31:H31)/'Sm Comm Cust Fcst'!C32)</f>
        <v>0</v>
      </c>
      <c r="J31" s="109">
        <f>'Sm Comm Cust Fcst'!$D32*'Non-Residential TSM UC Adj'!J30</f>
        <v>0</v>
      </c>
      <c r="K31" s="23">
        <f>'Sm Comm Cust Fcst'!$D32*'Non-Residential TSM UC Adj'!K30</f>
        <v>0</v>
      </c>
      <c r="L31" s="23">
        <f>'Sm Comm Cust Fcst'!$D32*'Non-Residential TSM UC Adj'!L30</f>
        <v>0</v>
      </c>
      <c r="M31" s="41">
        <f>IF(SUM(J31:L31)=0,0,SUM(J31:L31)/'Sm Comm Cust Fcst'!D32)</f>
        <v>0</v>
      </c>
      <c r="N31" s="109">
        <f>'Sm Comm Cust Fcst'!$E32*'Non-Residential TSM UC Adj'!N30</f>
        <v>0</v>
      </c>
      <c r="O31" s="23">
        <f>'Sm Comm Cust Fcst'!$E32*'Non-Residential TSM UC Adj'!O30</f>
        <v>0</v>
      </c>
      <c r="P31" s="23">
        <f>'Sm Comm Cust Fcst'!$E32*'Non-Residential TSM UC Adj'!P30</f>
        <v>0</v>
      </c>
      <c r="Q31" s="41">
        <f>IF(SUM(N31:P31)=0,0,SUM(N31:P31)/'Sm Comm Cust Fcst'!E32)</f>
        <v>0</v>
      </c>
      <c r="R31" s="109">
        <f t="shared" si="2"/>
        <v>0</v>
      </c>
      <c r="S31" s="23">
        <f t="shared" si="2"/>
        <v>0</v>
      </c>
      <c r="T31" s="23">
        <f t="shared" si="2"/>
        <v>0</v>
      </c>
      <c r="U31" s="41">
        <f>IF(SUM(R31:T31)=0,0,SUM(R31:T31)/'Sm Comm Cust Fcst'!F32)</f>
        <v>0</v>
      </c>
      <c r="V31" s="109">
        <f>'Sm Comm Cust Fcst'!$G32*'Non-Residential TSM UC Adj'!R30</f>
        <v>0</v>
      </c>
      <c r="W31" s="23">
        <f>'Sm Comm Cust Fcst'!$G32*'Non-Residential TSM UC Adj'!S30</f>
        <v>0</v>
      </c>
      <c r="X31" s="23">
        <f>'Sm Comm Cust Fcst'!$G32*'Non-Residential TSM UC Adj'!T30</f>
        <v>0</v>
      </c>
      <c r="Y31" s="41">
        <f>IF(SUM(V31:X31)=0,0,SUM(V31:X31)/'Sm Comm Cust Fcst'!G32)</f>
        <v>0</v>
      </c>
      <c r="Z31" s="109">
        <f t="shared" si="3"/>
        <v>0</v>
      </c>
      <c r="AA31" s="23">
        <f t="shared" si="3"/>
        <v>0</v>
      </c>
      <c r="AB31" s="23">
        <f t="shared" si="3"/>
        <v>0</v>
      </c>
      <c r="AC31" s="41">
        <f>IF(SUM(Z31:AB31)=0,0,SUM(Z31:AB31)/'Sm Comm Cust Fcst'!H32)</f>
        <v>0</v>
      </c>
    </row>
    <row r="32" spans="1:29">
      <c r="A32" s="124" t="s">
        <v>23</v>
      </c>
      <c r="B32" s="109">
        <f>'Sm Comm Cust Fcst'!$B33*'Non-Residential TSM UC Adj'!J31</f>
        <v>0</v>
      </c>
      <c r="C32" s="23">
        <f>'Sm Comm Cust Fcst'!$B33*'Non-Residential TSM UC Adj'!K31</f>
        <v>0</v>
      </c>
      <c r="D32" s="23">
        <f>'Sm Comm Cust Fcst'!$B33*'Non-Residential TSM UC Adj'!L31</f>
        <v>0</v>
      </c>
      <c r="E32" s="41">
        <f>IF(SUM(B32:D32)=0,0,SUM(B32:D32)/'Sm Comm Cust Fcst'!B33)</f>
        <v>0</v>
      </c>
      <c r="F32" s="109">
        <f>'Sm Comm Cust Fcst'!$C33*'Non-Residential TSM UC Adj'!J31</f>
        <v>0</v>
      </c>
      <c r="G32" s="23">
        <f>'Sm Comm Cust Fcst'!$C33*'Non-Residential TSM UC Adj'!K31</f>
        <v>0</v>
      </c>
      <c r="H32" s="23">
        <f>'Sm Comm Cust Fcst'!$C33*'Non-Residential TSM UC Adj'!L31</f>
        <v>0</v>
      </c>
      <c r="I32" s="41">
        <f>IF(SUM(F32:H32)=0,0,SUM(F32:H32)/'Sm Comm Cust Fcst'!C33)</f>
        <v>0</v>
      </c>
      <c r="J32" s="109">
        <f>'Sm Comm Cust Fcst'!$D33*'Non-Residential TSM UC Adj'!J31</f>
        <v>0</v>
      </c>
      <c r="K32" s="23">
        <f>'Sm Comm Cust Fcst'!$D33*'Non-Residential TSM UC Adj'!K31</f>
        <v>0</v>
      </c>
      <c r="L32" s="23">
        <f>'Sm Comm Cust Fcst'!$D33*'Non-Residential TSM UC Adj'!L31</f>
        <v>0</v>
      </c>
      <c r="M32" s="41">
        <f>IF(SUM(J32:L32)=0,0,SUM(J32:L32)/'Sm Comm Cust Fcst'!D33)</f>
        <v>0</v>
      </c>
      <c r="N32" s="109">
        <f>'Sm Comm Cust Fcst'!$E33*'Non-Residential TSM UC Adj'!N31</f>
        <v>0</v>
      </c>
      <c r="O32" s="23">
        <f>'Sm Comm Cust Fcst'!$E33*'Non-Residential TSM UC Adj'!O31</f>
        <v>0</v>
      </c>
      <c r="P32" s="23">
        <f>'Sm Comm Cust Fcst'!$E33*'Non-Residential TSM UC Adj'!P31</f>
        <v>0</v>
      </c>
      <c r="Q32" s="41">
        <f>IF(SUM(N32:P32)=0,0,SUM(N32:P32)/'Sm Comm Cust Fcst'!E33)</f>
        <v>0</v>
      </c>
      <c r="R32" s="109">
        <f t="shared" si="2"/>
        <v>0</v>
      </c>
      <c r="S32" s="23">
        <f t="shared" si="2"/>
        <v>0</v>
      </c>
      <c r="T32" s="23">
        <f t="shared" si="2"/>
        <v>0</v>
      </c>
      <c r="U32" s="41">
        <f>IF(SUM(R32:T32)=0,0,SUM(R32:T32)/'Sm Comm Cust Fcst'!F33)</f>
        <v>0</v>
      </c>
      <c r="V32" s="109">
        <f>'Sm Comm Cust Fcst'!$G33*'Non-Residential TSM UC Adj'!R31</f>
        <v>0</v>
      </c>
      <c r="W32" s="23">
        <f>'Sm Comm Cust Fcst'!$G33*'Non-Residential TSM UC Adj'!S31</f>
        <v>0</v>
      </c>
      <c r="X32" s="23">
        <f>'Sm Comm Cust Fcst'!$G33*'Non-Residential TSM UC Adj'!T31</f>
        <v>0</v>
      </c>
      <c r="Y32" s="41">
        <f>IF(SUM(V32:X32)=0,0,SUM(V32:X32)/'Sm Comm Cust Fcst'!G33)</f>
        <v>0</v>
      </c>
      <c r="Z32" s="109">
        <f t="shared" si="3"/>
        <v>0</v>
      </c>
      <c r="AA32" s="23">
        <f t="shared" si="3"/>
        <v>0</v>
      </c>
      <c r="AB32" s="23">
        <f t="shared" si="3"/>
        <v>0</v>
      </c>
      <c r="AC32" s="41">
        <f>IF(SUM(Z32:AB32)=0,0,SUM(Z32:AB32)/'Sm Comm Cust Fcst'!H33)</f>
        <v>0</v>
      </c>
    </row>
    <row r="33" spans="1:29">
      <c r="A33" s="124" t="s">
        <v>24</v>
      </c>
      <c r="B33" s="109">
        <f>'Sm Comm Cust Fcst'!$B34*'Non-Residential TSM UC Adj'!J32</f>
        <v>0</v>
      </c>
      <c r="C33" s="23">
        <f>'Sm Comm Cust Fcst'!$B34*'Non-Residential TSM UC Adj'!K32</f>
        <v>0</v>
      </c>
      <c r="D33" s="23">
        <f>'Sm Comm Cust Fcst'!$B34*'Non-Residential TSM UC Adj'!L32</f>
        <v>0</v>
      </c>
      <c r="E33" s="41">
        <f>IF(SUM(B33:D33)=0,0,SUM(B33:D33)/'Sm Comm Cust Fcst'!B34)</f>
        <v>0</v>
      </c>
      <c r="F33" s="109">
        <f>'Sm Comm Cust Fcst'!$C34*'Non-Residential TSM UC Adj'!J32</f>
        <v>0</v>
      </c>
      <c r="G33" s="23">
        <f>'Sm Comm Cust Fcst'!$C34*'Non-Residential TSM UC Adj'!K32</f>
        <v>0</v>
      </c>
      <c r="H33" s="23">
        <f>'Sm Comm Cust Fcst'!$C34*'Non-Residential TSM UC Adj'!L32</f>
        <v>0</v>
      </c>
      <c r="I33" s="41">
        <f>IF(SUM(F33:H33)=0,0,SUM(F33:H33)/'Sm Comm Cust Fcst'!C34)</f>
        <v>0</v>
      </c>
      <c r="J33" s="109">
        <f>'Sm Comm Cust Fcst'!$D34*'Non-Residential TSM UC Adj'!J32</f>
        <v>0</v>
      </c>
      <c r="K33" s="23">
        <f>'Sm Comm Cust Fcst'!$D34*'Non-Residential TSM UC Adj'!K32</f>
        <v>0</v>
      </c>
      <c r="L33" s="23">
        <f>'Sm Comm Cust Fcst'!$D34*'Non-Residential TSM UC Adj'!L32</f>
        <v>0</v>
      </c>
      <c r="M33" s="41">
        <f>IF(SUM(J33:L33)=0,0,SUM(J33:L33)/'Sm Comm Cust Fcst'!D34)</f>
        <v>0</v>
      </c>
      <c r="N33" s="109">
        <f>'Sm Comm Cust Fcst'!$E34*'Non-Residential TSM UC Adj'!N32</f>
        <v>0</v>
      </c>
      <c r="O33" s="23">
        <f>'Sm Comm Cust Fcst'!$E34*'Non-Residential TSM UC Adj'!O32</f>
        <v>0</v>
      </c>
      <c r="P33" s="23">
        <f>'Sm Comm Cust Fcst'!$E34*'Non-Residential TSM UC Adj'!P32</f>
        <v>0</v>
      </c>
      <c r="Q33" s="41">
        <f>IF(SUM(N33:P33)=0,0,SUM(N33:P33)/'Sm Comm Cust Fcst'!E34)</f>
        <v>0</v>
      </c>
      <c r="R33" s="109">
        <f t="shared" si="2"/>
        <v>0</v>
      </c>
      <c r="S33" s="23">
        <f t="shared" si="2"/>
        <v>0</v>
      </c>
      <c r="T33" s="23">
        <f t="shared" si="2"/>
        <v>0</v>
      </c>
      <c r="U33" s="41">
        <f>IF(SUM(R33:T33)=0,0,SUM(R33:T33)/'Sm Comm Cust Fcst'!F34)</f>
        <v>0</v>
      </c>
      <c r="V33" s="109">
        <f>'Sm Comm Cust Fcst'!$G34*'Non-Residential TSM UC Adj'!R32</f>
        <v>0</v>
      </c>
      <c r="W33" s="23">
        <f>'Sm Comm Cust Fcst'!$G34*'Non-Residential TSM UC Adj'!S32</f>
        <v>0</v>
      </c>
      <c r="X33" s="23">
        <f>'Sm Comm Cust Fcst'!$G34*'Non-Residential TSM UC Adj'!T32</f>
        <v>0</v>
      </c>
      <c r="Y33" s="41">
        <f>IF(SUM(V33:X33)=0,0,SUM(V33:X33)/'Sm Comm Cust Fcst'!G34)</f>
        <v>0</v>
      </c>
      <c r="Z33" s="109">
        <f t="shared" si="3"/>
        <v>0</v>
      </c>
      <c r="AA33" s="23">
        <f t="shared" si="3"/>
        <v>0</v>
      </c>
      <c r="AB33" s="23">
        <f t="shared" si="3"/>
        <v>0</v>
      </c>
      <c r="AC33" s="41">
        <f>IF(SUM(Z33:AB33)=0,0,SUM(Z33:AB33)/'Sm Comm Cust Fcst'!H34)</f>
        <v>0</v>
      </c>
    </row>
    <row r="34" spans="1:29">
      <c r="A34" s="124" t="s">
        <v>25</v>
      </c>
      <c r="B34" s="109">
        <f>'Sm Comm Cust Fcst'!$B35*'Non-Residential TSM UC Adj'!J33</f>
        <v>0</v>
      </c>
      <c r="C34" s="23">
        <f>'Sm Comm Cust Fcst'!$B35*'Non-Residential TSM UC Adj'!K33</f>
        <v>0</v>
      </c>
      <c r="D34" s="23">
        <f>'Sm Comm Cust Fcst'!$B35*'Non-Residential TSM UC Adj'!L33</f>
        <v>0</v>
      </c>
      <c r="E34" s="41">
        <f>IF(SUM(B34:D34)=0,0,SUM(B34:D34)/'Sm Comm Cust Fcst'!B35)</f>
        <v>0</v>
      </c>
      <c r="F34" s="109">
        <f>'Sm Comm Cust Fcst'!$C35*'Non-Residential TSM UC Adj'!J33</f>
        <v>0</v>
      </c>
      <c r="G34" s="23">
        <f>'Sm Comm Cust Fcst'!$C35*'Non-Residential TSM UC Adj'!K33</f>
        <v>0</v>
      </c>
      <c r="H34" s="23">
        <f>'Sm Comm Cust Fcst'!$C35*'Non-Residential TSM UC Adj'!L33</f>
        <v>0</v>
      </c>
      <c r="I34" s="41">
        <f>IF(SUM(F34:H34)=0,0,SUM(F34:H34)/'Sm Comm Cust Fcst'!C35)</f>
        <v>0</v>
      </c>
      <c r="J34" s="109">
        <f>'Sm Comm Cust Fcst'!$D35*'Non-Residential TSM UC Adj'!J33</f>
        <v>0</v>
      </c>
      <c r="K34" s="23">
        <f>'Sm Comm Cust Fcst'!$D35*'Non-Residential TSM UC Adj'!K33</f>
        <v>0</v>
      </c>
      <c r="L34" s="23">
        <f>'Sm Comm Cust Fcst'!$D35*'Non-Residential TSM UC Adj'!L33</f>
        <v>0</v>
      </c>
      <c r="M34" s="41">
        <f>IF(SUM(J34:L34)=0,0,SUM(J34:L34)/'Sm Comm Cust Fcst'!D35)</f>
        <v>0</v>
      </c>
      <c r="N34" s="109">
        <f>'Sm Comm Cust Fcst'!$E35*'Non-Residential TSM UC Adj'!N33</f>
        <v>0</v>
      </c>
      <c r="O34" s="23">
        <f>'Sm Comm Cust Fcst'!$E35*'Non-Residential TSM UC Adj'!O33</f>
        <v>0</v>
      </c>
      <c r="P34" s="23">
        <f>'Sm Comm Cust Fcst'!$E35*'Non-Residential TSM UC Adj'!P33</f>
        <v>0</v>
      </c>
      <c r="Q34" s="41">
        <f>IF(SUM(N34:P34)=0,0,SUM(N34:P34)/'Sm Comm Cust Fcst'!E35)</f>
        <v>0</v>
      </c>
      <c r="R34" s="109">
        <f t="shared" si="2"/>
        <v>0</v>
      </c>
      <c r="S34" s="23">
        <f t="shared" si="2"/>
        <v>0</v>
      </c>
      <c r="T34" s="23">
        <f t="shared" si="2"/>
        <v>0</v>
      </c>
      <c r="U34" s="41">
        <f>IF(SUM(R34:T34)=0,0,SUM(R34:T34)/'Sm Comm Cust Fcst'!F35)</f>
        <v>0</v>
      </c>
      <c r="V34" s="109">
        <f>'Sm Comm Cust Fcst'!$G35*'Non-Residential TSM UC Adj'!R33</f>
        <v>0</v>
      </c>
      <c r="W34" s="23">
        <f>'Sm Comm Cust Fcst'!$G35*'Non-Residential TSM UC Adj'!S33</f>
        <v>0</v>
      </c>
      <c r="X34" s="23">
        <f>'Sm Comm Cust Fcst'!$G35*'Non-Residential TSM UC Adj'!T33</f>
        <v>0</v>
      </c>
      <c r="Y34" s="41">
        <f>IF(SUM(V34:X34)=0,0,SUM(V34:X34)/'Sm Comm Cust Fcst'!G35)</f>
        <v>0</v>
      </c>
      <c r="Z34" s="109">
        <f t="shared" si="3"/>
        <v>0</v>
      </c>
      <c r="AA34" s="23">
        <f t="shared" si="3"/>
        <v>0</v>
      </c>
      <c r="AB34" s="23">
        <f t="shared" si="3"/>
        <v>0</v>
      </c>
      <c r="AC34" s="41">
        <f>IF(SUM(Z34:AB34)=0,0,SUM(Z34:AB34)/'Sm Comm Cust Fcst'!H35)</f>
        <v>0</v>
      </c>
    </row>
    <row r="35" spans="1:29">
      <c r="A35" s="124" t="s">
        <v>111</v>
      </c>
      <c r="B35" s="109">
        <f>'Sm Comm Cust Fcst'!$B36*'Non-Residential TSM UC Adj'!J34</f>
        <v>0</v>
      </c>
      <c r="C35" s="23">
        <f>'Sm Comm Cust Fcst'!$B36*'Non-Residential TSM UC Adj'!K34</f>
        <v>0</v>
      </c>
      <c r="D35" s="23">
        <f>'Sm Comm Cust Fcst'!$B36*'Non-Residential TSM UC Adj'!L34</f>
        <v>0</v>
      </c>
      <c r="E35" s="41">
        <f>IF(SUM(B35:D35)=0,0,SUM(B35:D35)/'Sm Comm Cust Fcst'!B36)</f>
        <v>0</v>
      </c>
      <c r="F35" s="109">
        <f>'Sm Comm Cust Fcst'!$C36*'Non-Residential TSM UC Adj'!J34</f>
        <v>0</v>
      </c>
      <c r="G35" s="23">
        <f>'Sm Comm Cust Fcst'!$C36*'Non-Residential TSM UC Adj'!K34</f>
        <v>0</v>
      </c>
      <c r="H35" s="23">
        <f>'Sm Comm Cust Fcst'!$C36*'Non-Residential TSM UC Adj'!L34</f>
        <v>0</v>
      </c>
      <c r="I35" s="41">
        <f>IF(SUM(F35:H35)=0,0,SUM(F35:H35)/'Sm Comm Cust Fcst'!C36)</f>
        <v>0</v>
      </c>
      <c r="J35" s="109">
        <f>'Sm Comm Cust Fcst'!$D36*'Non-Residential TSM UC Adj'!J34</f>
        <v>0</v>
      </c>
      <c r="K35" s="23">
        <f>'Sm Comm Cust Fcst'!$D36*'Non-Residential TSM UC Adj'!K34</f>
        <v>0</v>
      </c>
      <c r="L35" s="23">
        <f>'Sm Comm Cust Fcst'!$D36*'Non-Residential TSM UC Adj'!L34</f>
        <v>0</v>
      </c>
      <c r="M35" s="41">
        <f>IF(SUM(J35:L35)=0,0,SUM(J35:L35)/'Sm Comm Cust Fcst'!D36)</f>
        <v>0</v>
      </c>
      <c r="N35" s="109">
        <f>'Sm Comm Cust Fcst'!$E36*'Non-Residential TSM UC Adj'!N34</f>
        <v>0</v>
      </c>
      <c r="O35" s="23">
        <f>'Sm Comm Cust Fcst'!$E36*'Non-Residential TSM UC Adj'!O34</f>
        <v>0</v>
      </c>
      <c r="P35" s="23">
        <f>'Sm Comm Cust Fcst'!$E36*'Non-Residential TSM UC Adj'!P34</f>
        <v>0</v>
      </c>
      <c r="Q35" s="41">
        <f>IF(SUM(N35:P35)=0,0,SUM(N35:P35)/'Sm Comm Cust Fcst'!E36)</f>
        <v>0</v>
      </c>
      <c r="R35" s="109">
        <f t="shared" si="2"/>
        <v>0</v>
      </c>
      <c r="S35" s="23">
        <f t="shared" si="2"/>
        <v>0</v>
      </c>
      <c r="T35" s="23">
        <f t="shared" si="2"/>
        <v>0</v>
      </c>
      <c r="U35" s="41">
        <f>IF(SUM(R35:T35)=0,0,SUM(R35:T35)/'Sm Comm Cust Fcst'!F36)</f>
        <v>0</v>
      </c>
      <c r="V35" s="109">
        <f>'Sm Comm Cust Fcst'!$G36*'Non-Residential TSM UC Adj'!R34</f>
        <v>0</v>
      </c>
      <c r="W35" s="23">
        <f>'Sm Comm Cust Fcst'!$G36*'Non-Residential TSM UC Adj'!S34</f>
        <v>0</v>
      </c>
      <c r="X35" s="23">
        <f>'Sm Comm Cust Fcst'!$G36*'Non-Residential TSM UC Adj'!T34</f>
        <v>0</v>
      </c>
      <c r="Y35" s="41">
        <f>IF(SUM(V35:X35)=0,0,SUM(V35:X35)/'Sm Comm Cust Fcst'!G36)</f>
        <v>0</v>
      </c>
      <c r="Z35" s="109">
        <f t="shared" si="3"/>
        <v>0</v>
      </c>
      <c r="AA35" s="23">
        <f t="shared" si="3"/>
        <v>0</v>
      </c>
      <c r="AB35" s="23">
        <f t="shared" si="3"/>
        <v>0</v>
      </c>
      <c r="AC35" s="41">
        <f>IF(SUM(Z35:AB35)=0,0,SUM(Z35:AB35)/'Sm Comm Cust Fcst'!H36)</f>
        <v>0</v>
      </c>
    </row>
    <row r="36" spans="1:29">
      <c r="A36" s="124" t="s">
        <v>112</v>
      </c>
      <c r="B36" s="109">
        <f>'Sm Comm Cust Fcst'!$B37*'Non-Residential TSM UC Adj'!J35</f>
        <v>0</v>
      </c>
      <c r="C36" s="23">
        <f>'Sm Comm Cust Fcst'!$B37*'Non-Residential TSM UC Adj'!K35</f>
        <v>0</v>
      </c>
      <c r="D36" s="23">
        <f>'Sm Comm Cust Fcst'!$B37*'Non-Residential TSM UC Adj'!L35</f>
        <v>0</v>
      </c>
      <c r="E36" s="41">
        <f>IF(SUM(B36:D36)=0,0,SUM(B36:D36)/'Sm Comm Cust Fcst'!B37)</f>
        <v>0</v>
      </c>
      <c r="F36" s="109">
        <f>'Sm Comm Cust Fcst'!$C37*'Non-Residential TSM UC Adj'!J35</f>
        <v>0</v>
      </c>
      <c r="G36" s="23">
        <f>'Sm Comm Cust Fcst'!$C37*'Non-Residential TSM UC Adj'!K35</f>
        <v>0</v>
      </c>
      <c r="H36" s="23">
        <f>'Sm Comm Cust Fcst'!$C37*'Non-Residential TSM UC Adj'!L35</f>
        <v>0</v>
      </c>
      <c r="I36" s="41">
        <f>IF(SUM(F36:H36)=0,0,SUM(F36:H36)/'Sm Comm Cust Fcst'!C37)</f>
        <v>0</v>
      </c>
      <c r="J36" s="109">
        <f>'Sm Comm Cust Fcst'!$D37*'Non-Residential TSM UC Adj'!J35</f>
        <v>0</v>
      </c>
      <c r="K36" s="23">
        <f>'Sm Comm Cust Fcst'!$D37*'Non-Residential TSM UC Adj'!K35</f>
        <v>0</v>
      </c>
      <c r="L36" s="23">
        <f>'Sm Comm Cust Fcst'!$D37*'Non-Residential TSM UC Adj'!L35</f>
        <v>0</v>
      </c>
      <c r="M36" s="41">
        <f>IF(SUM(J36:L36)=0,0,SUM(J36:L36)/'Sm Comm Cust Fcst'!D37)</f>
        <v>0</v>
      </c>
      <c r="N36" s="109">
        <f>'Sm Comm Cust Fcst'!$E37*'Non-Residential TSM UC Adj'!N35</f>
        <v>0</v>
      </c>
      <c r="O36" s="23">
        <f>'Sm Comm Cust Fcst'!$E37*'Non-Residential TSM UC Adj'!O35</f>
        <v>0</v>
      </c>
      <c r="P36" s="23">
        <f>'Sm Comm Cust Fcst'!$E37*'Non-Residential TSM UC Adj'!P35</f>
        <v>0</v>
      </c>
      <c r="Q36" s="41">
        <f>IF(SUM(N36:P36)=0,0,SUM(N36:P36)/'Sm Comm Cust Fcst'!E37)</f>
        <v>0</v>
      </c>
      <c r="R36" s="109">
        <f t="shared" si="2"/>
        <v>0</v>
      </c>
      <c r="S36" s="23">
        <f t="shared" si="2"/>
        <v>0</v>
      </c>
      <c r="T36" s="23">
        <f t="shared" si="2"/>
        <v>0</v>
      </c>
      <c r="U36" s="41">
        <f>IF(SUM(R36:T36)=0,0,SUM(R36:T36)/'Sm Comm Cust Fcst'!F37)</f>
        <v>0</v>
      </c>
      <c r="V36" s="109">
        <f>'Sm Comm Cust Fcst'!$G37*'Non-Residential TSM UC Adj'!R35</f>
        <v>0</v>
      </c>
      <c r="W36" s="23">
        <f>'Sm Comm Cust Fcst'!$G37*'Non-Residential TSM UC Adj'!S35</f>
        <v>0</v>
      </c>
      <c r="X36" s="23">
        <f>'Sm Comm Cust Fcst'!$G37*'Non-Residential TSM UC Adj'!T35</f>
        <v>0</v>
      </c>
      <c r="Y36" s="41">
        <f>IF(SUM(V36:X36)=0,0,SUM(V36:X36)/'Sm Comm Cust Fcst'!G37)</f>
        <v>0</v>
      </c>
      <c r="Z36" s="109">
        <f t="shared" si="3"/>
        <v>0</v>
      </c>
      <c r="AA36" s="23">
        <f t="shared" si="3"/>
        <v>0</v>
      </c>
      <c r="AB36" s="23">
        <f t="shared" si="3"/>
        <v>0</v>
      </c>
      <c r="AC36" s="41">
        <f>IF(SUM(Z36:AB36)=0,0,SUM(Z36:AB36)/'Sm Comm Cust Fcst'!H37)</f>
        <v>0</v>
      </c>
    </row>
    <row r="37" spans="1:29">
      <c r="A37" s="124" t="s">
        <v>26</v>
      </c>
      <c r="B37" s="109">
        <f>'Sm Comm Cust Fcst'!$B38*'Non-Residential TSM UC Adj'!J36</f>
        <v>0</v>
      </c>
      <c r="C37" s="23">
        <f>'Sm Comm Cust Fcst'!$B38*'Non-Residential TSM UC Adj'!K36</f>
        <v>0</v>
      </c>
      <c r="D37" s="23">
        <f>'Sm Comm Cust Fcst'!$B38*'Non-Residential TSM UC Adj'!L36</f>
        <v>0</v>
      </c>
      <c r="E37" s="41">
        <f>IF(SUM(B37:D37)=0,0,SUM(B37:D37)/'Sm Comm Cust Fcst'!B38)</f>
        <v>0</v>
      </c>
      <c r="F37" s="109">
        <f>'Sm Comm Cust Fcst'!$C38*'Non-Residential TSM UC Adj'!J36</f>
        <v>0</v>
      </c>
      <c r="G37" s="23">
        <f>'Sm Comm Cust Fcst'!$C38*'Non-Residential TSM UC Adj'!K36</f>
        <v>0</v>
      </c>
      <c r="H37" s="23">
        <f>'Sm Comm Cust Fcst'!$C38*'Non-Residential TSM UC Adj'!L36</f>
        <v>0</v>
      </c>
      <c r="I37" s="41">
        <f>IF(SUM(F37:H37)=0,0,SUM(F37:H37)/'Sm Comm Cust Fcst'!C38)</f>
        <v>0</v>
      </c>
      <c r="J37" s="109">
        <f>'Sm Comm Cust Fcst'!$D38*'Non-Residential TSM UC Adj'!J36</f>
        <v>0</v>
      </c>
      <c r="K37" s="23">
        <f>'Sm Comm Cust Fcst'!$D38*'Non-Residential TSM UC Adj'!K36</f>
        <v>0</v>
      </c>
      <c r="L37" s="23">
        <f>'Sm Comm Cust Fcst'!$D38*'Non-Residential TSM UC Adj'!L36</f>
        <v>0</v>
      </c>
      <c r="M37" s="41">
        <f>IF(SUM(J37:L37)=0,0,SUM(J37:L37)/'Sm Comm Cust Fcst'!D38)</f>
        <v>0</v>
      </c>
      <c r="N37" s="109">
        <f>'Sm Comm Cust Fcst'!$E38*'Non-Residential TSM UC Adj'!N36</f>
        <v>0</v>
      </c>
      <c r="O37" s="23">
        <f>'Sm Comm Cust Fcst'!$E38*'Non-Residential TSM UC Adj'!O36</f>
        <v>0</v>
      </c>
      <c r="P37" s="23">
        <f>'Sm Comm Cust Fcst'!$E38*'Non-Residential TSM UC Adj'!P36</f>
        <v>0</v>
      </c>
      <c r="Q37" s="41">
        <f>IF(SUM(N37:P37)=0,0,SUM(N37:P37)/'Sm Comm Cust Fcst'!E38)</f>
        <v>0</v>
      </c>
      <c r="R37" s="109">
        <f t="shared" si="2"/>
        <v>0</v>
      </c>
      <c r="S37" s="23">
        <f t="shared" si="2"/>
        <v>0</v>
      </c>
      <c r="T37" s="23">
        <f t="shared" si="2"/>
        <v>0</v>
      </c>
      <c r="U37" s="41">
        <f>IF(SUM(R37:T37)=0,0,SUM(R37:T37)/'Sm Comm Cust Fcst'!F38)</f>
        <v>0</v>
      </c>
      <c r="V37" s="109">
        <f>'Sm Comm Cust Fcst'!$G38*'Non-Residential TSM UC Adj'!R36</f>
        <v>0</v>
      </c>
      <c r="W37" s="23">
        <f>'Sm Comm Cust Fcst'!$G38*'Non-Residential TSM UC Adj'!S36</f>
        <v>0</v>
      </c>
      <c r="X37" s="23">
        <f>'Sm Comm Cust Fcst'!$G38*'Non-Residential TSM UC Adj'!T36</f>
        <v>0</v>
      </c>
      <c r="Y37" s="41">
        <f>IF(SUM(V37:X37)=0,0,SUM(V37:X37)/'Sm Comm Cust Fcst'!G38)</f>
        <v>0</v>
      </c>
      <c r="Z37" s="109">
        <f t="shared" si="3"/>
        <v>0</v>
      </c>
      <c r="AA37" s="23">
        <f t="shared" si="3"/>
        <v>0</v>
      </c>
      <c r="AB37" s="23">
        <f t="shared" si="3"/>
        <v>0</v>
      </c>
      <c r="AC37" s="41">
        <f>IF(SUM(Z37:AB37)=0,0,SUM(Z37:AB37)/'Sm Comm Cust Fcst'!H38)</f>
        <v>0</v>
      </c>
    </row>
    <row r="38" spans="1:29">
      <c r="A38" s="124" t="s">
        <v>27</v>
      </c>
      <c r="B38" s="109">
        <f>'Sm Comm Cust Fcst'!$B39*'Non-Residential TSM UC Adj'!J37</f>
        <v>0</v>
      </c>
      <c r="C38" s="23">
        <f>'Sm Comm Cust Fcst'!$B39*'Non-Residential TSM UC Adj'!K37</f>
        <v>0</v>
      </c>
      <c r="D38" s="23">
        <f>'Sm Comm Cust Fcst'!$B39*'Non-Residential TSM UC Adj'!L37</f>
        <v>0</v>
      </c>
      <c r="E38" s="41">
        <f>IF(SUM(B38:D38)=0,0,SUM(B38:D38)/'Sm Comm Cust Fcst'!B39)</f>
        <v>0</v>
      </c>
      <c r="F38" s="109">
        <f>'Sm Comm Cust Fcst'!$C39*'Non-Residential TSM UC Adj'!J37</f>
        <v>0</v>
      </c>
      <c r="G38" s="23">
        <f>'Sm Comm Cust Fcst'!$C39*'Non-Residential TSM UC Adj'!K37</f>
        <v>0</v>
      </c>
      <c r="H38" s="23">
        <f>'Sm Comm Cust Fcst'!$C39*'Non-Residential TSM UC Adj'!L37</f>
        <v>0</v>
      </c>
      <c r="I38" s="41">
        <f>IF(SUM(F38:H38)=0,0,SUM(F38:H38)/'Sm Comm Cust Fcst'!C39)</f>
        <v>0</v>
      </c>
      <c r="J38" s="109">
        <f>'Sm Comm Cust Fcst'!$D39*'Non-Residential TSM UC Adj'!J37</f>
        <v>0</v>
      </c>
      <c r="K38" s="23">
        <f>'Sm Comm Cust Fcst'!$D39*'Non-Residential TSM UC Adj'!K37</f>
        <v>0</v>
      </c>
      <c r="L38" s="23">
        <f>'Sm Comm Cust Fcst'!$D39*'Non-Residential TSM UC Adj'!L37</f>
        <v>0</v>
      </c>
      <c r="M38" s="41">
        <f>IF(SUM(J38:L38)=0,0,SUM(J38:L38)/'Sm Comm Cust Fcst'!D39)</f>
        <v>0</v>
      </c>
      <c r="N38" s="109">
        <f>'Sm Comm Cust Fcst'!$E39*'Non-Residential TSM UC Adj'!N37</f>
        <v>0</v>
      </c>
      <c r="O38" s="23">
        <f>'Sm Comm Cust Fcst'!$E39*'Non-Residential TSM UC Adj'!O37</f>
        <v>0</v>
      </c>
      <c r="P38" s="23">
        <f>'Sm Comm Cust Fcst'!$E39*'Non-Residential TSM UC Adj'!P37</f>
        <v>0</v>
      </c>
      <c r="Q38" s="41">
        <f>IF(SUM(N38:P38)=0,0,SUM(N38:P38)/'Sm Comm Cust Fcst'!E39)</f>
        <v>0</v>
      </c>
      <c r="R38" s="109">
        <f t="shared" si="2"/>
        <v>0</v>
      </c>
      <c r="S38" s="23">
        <f t="shared" si="2"/>
        <v>0</v>
      </c>
      <c r="T38" s="23">
        <f t="shared" si="2"/>
        <v>0</v>
      </c>
      <c r="U38" s="41">
        <f>IF(SUM(R38:T38)=0,0,SUM(R38:T38)/'Sm Comm Cust Fcst'!F39)</f>
        <v>0</v>
      </c>
      <c r="V38" s="109">
        <f>'Sm Comm Cust Fcst'!$G39*'Non-Residential TSM UC Adj'!R37</f>
        <v>0</v>
      </c>
      <c r="W38" s="23">
        <f>'Sm Comm Cust Fcst'!$G39*'Non-Residential TSM UC Adj'!S37</f>
        <v>0</v>
      </c>
      <c r="X38" s="23">
        <f>'Sm Comm Cust Fcst'!$G39*'Non-Residential TSM UC Adj'!T37</f>
        <v>0</v>
      </c>
      <c r="Y38" s="41">
        <f>IF(SUM(V38:X38)=0,0,SUM(V38:X38)/'Sm Comm Cust Fcst'!G39)</f>
        <v>0</v>
      </c>
      <c r="Z38" s="109">
        <f t="shared" si="3"/>
        <v>0</v>
      </c>
      <c r="AA38" s="23">
        <f t="shared" si="3"/>
        <v>0</v>
      </c>
      <c r="AB38" s="23">
        <f t="shared" si="3"/>
        <v>0</v>
      </c>
      <c r="AC38" s="41">
        <f>IF(SUM(Z38:AB38)=0,0,SUM(Z38:AB38)/'Sm Comm Cust Fcst'!H39)</f>
        <v>0</v>
      </c>
    </row>
    <row r="39" spans="1:29" ht="13.5" thickBot="1">
      <c r="A39" s="127"/>
      <c r="B39" s="109"/>
      <c r="C39" s="23"/>
      <c r="D39" s="23"/>
      <c r="E39" s="41"/>
      <c r="F39" s="109"/>
      <c r="G39" s="23"/>
      <c r="H39" s="23"/>
      <c r="I39" s="41"/>
      <c r="J39" s="109"/>
      <c r="K39" s="23"/>
      <c r="L39" s="23"/>
      <c r="M39" s="41"/>
      <c r="N39" s="109"/>
      <c r="O39" s="23"/>
      <c r="P39" s="23"/>
      <c r="Q39" s="41"/>
      <c r="R39" s="180"/>
      <c r="S39" s="176"/>
      <c r="T39" s="176"/>
      <c r="U39" s="185"/>
      <c r="V39" s="109"/>
      <c r="W39" s="23"/>
      <c r="X39" s="23"/>
      <c r="Y39" s="41"/>
      <c r="Z39" s="109"/>
      <c r="AA39" s="23"/>
      <c r="AB39" s="23"/>
      <c r="AC39" s="41"/>
    </row>
    <row r="40" spans="1:29" ht="13.5" thickBot="1">
      <c r="A40" s="181" t="s">
        <v>2</v>
      </c>
      <c r="B40" s="368">
        <f>IF(SUM(B7:B38)=0,0,SUM(B7:B38)/'Sm Comm Cust Fcst'!$B41)</f>
        <v>1694.15782726468</v>
      </c>
      <c r="C40" s="371">
        <f>IF(SUM(C7:C38)=0,0,SUM(C7:C38)/'Sm Comm Cust Fcst'!$B41)</f>
        <v>191.15963907987606</v>
      </c>
      <c r="D40" s="371">
        <f>IF(SUM(D7:D38)=0,0,SUM(D7:D38)/'Sm Comm Cust Fcst'!$B41)</f>
        <v>231.00861885131383</v>
      </c>
      <c r="E40" s="373">
        <f>SUM(B40:D40)</f>
        <v>2116.3260851958698</v>
      </c>
      <c r="F40" s="369">
        <f>IF(SUM(F7:F38)=0,0,SUM(F7:F38)/'Sm Comm Cust Fcst'!$C41)</f>
        <v>4289.101008546676</v>
      </c>
      <c r="G40" s="372">
        <f>IF(SUM(G7:G38)=0,0,SUM(G7:G38)/'Sm Comm Cust Fcst'!$C41)</f>
        <v>713.95305535397722</v>
      </c>
      <c r="H40" s="372">
        <f>IF(SUM(H7:H38)=0,0,SUM(H7:H38)/'Sm Comm Cust Fcst'!$C41)</f>
        <v>297.01685728884092</v>
      </c>
      <c r="I40" s="374">
        <f>SUM(F40:H40)</f>
        <v>5300.0709211894937</v>
      </c>
      <c r="J40" s="369">
        <f>IF(SUM(J7:J38)=0,0,SUM(J7:J38)/'Sm Comm Cust Fcst'!$D41)</f>
        <v>3711.1945366957693</v>
      </c>
      <c r="K40" s="372">
        <f>IF(SUM(K7:K38)=0,0,SUM(K7:K38)/'Sm Comm Cust Fcst'!$D41)</f>
        <v>734.56203338802948</v>
      </c>
      <c r="L40" s="372">
        <f>IF(SUM(L7:L38)=0,0,SUM(L7:L38)/'Sm Comm Cust Fcst'!$D41)</f>
        <v>304.29081454927979</v>
      </c>
      <c r="M40" s="374">
        <f>SUM(J40:L40)</f>
        <v>4750.0473846330788</v>
      </c>
      <c r="N40" s="369">
        <f>IF(SUM(N7:N38)=0,0,SUM(N7:N38)/'Sm Comm Cust Fcst'!$E41)</f>
        <v>4122.8154093158964</v>
      </c>
      <c r="O40" s="372">
        <f>IF(SUM(O7:O38)=0,0,SUM(O7:O38)/'Sm Comm Cust Fcst'!$E41)</f>
        <v>751.70518064720613</v>
      </c>
      <c r="P40" s="372">
        <f>IF(SUM(P7:P38)=0,0,SUM(P7:P38)/'Sm Comm Cust Fcst'!$E41)</f>
        <v>338.37065134355822</v>
      </c>
      <c r="Q40" s="374">
        <f>SUM(N40:P40)</f>
        <v>5212.891241306661</v>
      </c>
      <c r="R40" s="369">
        <f>IF(SUM(R7:R38)=0,0,SUM(R7:R38)/'Sm Comm Cust Fcst'!$F41)</f>
        <v>2861.8799519419031</v>
      </c>
      <c r="S40" s="372">
        <f>IF(SUM(S7:S38)=0,0,SUM(S7:S38)/'Sm Comm Cust Fcst'!$F41)</f>
        <v>494.94328406706217</v>
      </c>
      <c r="T40" s="372">
        <f>IF(SUM(T7:T38)=0,0,SUM(T7:T38)/'Sm Comm Cust Fcst'!$F41)</f>
        <v>273.1373025234389</v>
      </c>
      <c r="U40" s="374">
        <f>SUM(R40:T40)</f>
        <v>3629.9605385324039</v>
      </c>
      <c r="V40" s="369">
        <f>IF(SUM(V7:V38)=0,0,SUM(V7:V38)/'Sm Comm Cust Fcst'!$G41)</f>
        <v>0</v>
      </c>
      <c r="W40" s="372">
        <f>IF(SUM(W7:W38)=0,0,SUM(W7:W38)/'Sm Comm Cust Fcst'!$G41)</f>
        <v>0</v>
      </c>
      <c r="X40" s="372">
        <f>IF(SUM(X7:X38)=0,0,SUM(X7:X38)/'Sm Comm Cust Fcst'!$G41)</f>
        <v>0</v>
      </c>
      <c r="Y40" s="374">
        <f>SUM(V40:X40)</f>
        <v>0</v>
      </c>
      <c r="Z40" s="369">
        <f>IF(SUM(Z7:Z38)=0,0,SUM(Z7:Z38)/'Sm Comm Cust Fcst'!$H41)</f>
        <v>2861.8799519419031</v>
      </c>
      <c r="AA40" s="372">
        <f>IF(SUM(AA7:AA38)=0,0,SUM(AA7:AA38)/'Sm Comm Cust Fcst'!$H41)</f>
        <v>494.94328406706217</v>
      </c>
      <c r="AB40" s="372">
        <f>IF(SUM(AB7:AB38)=0,0,SUM(AB7:AB38)/'Sm Comm Cust Fcst'!$H41)</f>
        <v>273.1373025234389</v>
      </c>
      <c r="AC40" s="374">
        <f>SUM(Z40:AB40)</f>
        <v>3629.9605385324039</v>
      </c>
    </row>
    <row r="41" spans="1:29">
      <c r="A41" s="226" t="s">
        <v>92</v>
      </c>
      <c r="B41" s="369">
        <f>IF(SUM(B7:B8)=0,0,SUM(B7:B8)/'Sm Comm Cust Fcst'!$B42)</f>
        <v>471.67009729586863</v>
      </c>
      <c r="C41" s="372">
        <f>IF(SUM(C7:C8)=0,0,SUM(C7:C8)/'Sm Comm Cust Fcst'!$B42)</f>
        <v>112.16712195266035</v>
      </c>
      <c r="D41" s="372">
        <f>IF(SUM(D7:D8)=0,0,SUM(D7:D8)/'Sm Comm Cust Fcst'!$B42)</f>
        <v>231.0086188513138</v>
      </c>
      <c r="E41" s="374">
        <f>SUM(B41:D41)</f>
        <v>814.84583809984281</v>
      </c>
      <c r="F41" s="369">
        <f>IF(SUM(F7:F8)=0,0,SUM(F7:F8)/'Sm Comm Cust Fcst'!$C42)</f>
        <v>336.13644267607185</v>
      </c>
      <c r="G41" s="372">
        <f>IF(SUM(G7:G8)=0,0,SUM(G7:G8)/'Sm Comm Cust Fcst'!$C42)</f>
        <v>609.82032510065369</v>
      </c>
      <c r="H41" s="372">
        <f>IF(SUM(H7:H8)=0,0,SUM(H7:H8)/'Sm Comm Cust Fcst'!$C42)</f>
        <v>297.01685728884092</v>
      </c>
      <c r="I41" s="374">
        <f>SUM(F41:H41)</f>
        <v>1242.9736250655665</v>
      </c>
      <c r="J41" s="369">
        <f>IF(SUM(J7:J8)=0,0,SUM(J7:J8)/'Sm Comm Cust Fcst'!$D42)</f>
        <v>753.55135731859207</v>
      </c>
      <c r="K41" s="372">
        <f>IF(SUM(K7:K8)=0,0,SUM(K7:K8)/'Sm Comm Cust Fcst'!$D42)</f>
        <v>609.82032510065369</v>
      </c>
      <c r="L41" s="372">
        <f>IF(SUM(L7:L8)=0,0,SUM(L7:L8)/'Sm Comm Cust Fcst'!$D42)</f>
        <v>297.01685728884092</v>
      </c>
      <c r="M41" s="374">
        <f>SUM(J41:L41)</f>
        <v>1660.3885397080867</v>
      </c>
      <c r="N41" s="369">
        <f>IF(SUM(N7:N8)=0,0,SUM(N7:N8)/'Sm Comm Cust Fcst'!$E42)</f>
        <v>795.92657033779824</v>
      </c>
      <c r="O41" s="372">
        <f>IF(SUM(O7:O8)=0,0,SUM(O7:O8)/'Sm Comm Cust Fcst'!$E42)</f>
        <v>609.82032510065369</v>
      </c>
      <c r="P41" s="372">
        <f>IF(SUM(P7:P8)=0,0,SUM(P7:P8)/'Sm Comm Cust Fcst'!$E42)</f>
        <v>297.01685728884092</v>
      </c>
      <c r="Q41" s="374">
        <f>SUM(N41:P41)</f>
        <v>1702.7637527272927</v>
      </c>
      <c r="R41" s="369">
        <f>IF(SUM(R7:R8)=0,0,SUM(R7:R8)/'Sm Comm Cust Fcst'!$F42)</f>
        <v>589.20209093746712</v>
      </c>
      <c r="S41" s="372">
        <f>IF(SUM(S7:S8)=0,0,SUM(S7:S8)/'Sm Comm Cust Fcst'!$F42)</f>
        <v>328.678580465099</v>
      </c>
      <c r="T41" s="372">
        <f>IF(SUM(T7:T8)=0,0,SUM(T7:T8)/'Sm Comm Cust Fcst'!$F42)</f>
        <v>259.72648882088731</v>
      </c>
      <c r="U41" s="374">
        <f>SUM(R41:T41)</f>
        <v>1177.6071602234533</v>
      </c>
      <c r="V41" s="369">
        <f>IF(SUM(V7:V8)=0,0,SUM(V7:V8)/'Sm Comm Cust Fcst'!$G42)</f>
        <v>0</v>
      </c>
      <c r="W41" s="372">
        <f>IF(SUM(W7:W8)=0,0,SUM(W7:W8)/'Sm Comm Cust Fcst'!$G42)</f>
        <v>0</v>
      </c>
      <c r="X41" s="372">
        <f>IF(SUM(X7:X8)=0,0,SUM(X7:X8)/'Sm Comm Cust Fcst'!$G42)</f>
        <v>0</v>
      </c>
      <c r="Y41" s="374">
        <f>SUM(V41:X41)</f>
        <v>0</v>
      </c>
      <c r="Z41" s="369">
        <f>IF(SUM(Z7:Z8)=0,0,SUM(Z7:Z8)/'Sm Comm Cust Fcst'!$H42)</f>
        <v>589.20209093746712</v>
      </c>
      <c r="AA41" s="372">
        <f>IF(SUM(AA7:AA8)=0,0,SUM(AA7:AA8)/'Sm Comm Cust Fcst'!$H42)</f>
        <v>328.678580465099</v>
      </c>
      <c r="AB41" s="372">
        <f>IF(SUM(AB7:AB8)=0,0,SUM(AB7:AB8)/'Sm Comm Cust Fcst'!$H42)</f>
        <v>259.72648882088731</v>
      </c>
      <c r="AC41" s="374">
        <f>SUM(Z41:AB41)</f>
        <v>1177.6071602234533</v>
      </c>
    </row>
    <row r="42" spans="1:29">
      <c r="A42" s="124" t="s">
        <v>114</v>
      </c>
      <c r="B42" s="291">
        <f>IF(SUM(B9:B11)=0,0,SUM(B9:B11)/'Sm Comm Cust Fcst'!$B43)</f>
        <v>1361.7620481312765</v>
      </c>
      <c r="C42" s="83">
        <f>IF(SUM(C9:C11)=0,0,SUM(C9:C11)/'Sm Comm Cust Fcst'!$B43)</f>
        <v>154.00005040889545</v>
      </c>
      <c r="D42" s="83">
        <f>IF(SUM(D9:D11)=0,0,SUM(D9:D11)/'Sm Comm Cust Fcst'!$B43)</f>
        <v>231.00861885131383</v>
      </c>
      <c r="E42" s="292">
        <f>SUM(B42:D42)</f>
        <v>1746.770717391486</v>
      </c>
      <c r="F42" s="291">
        <f>IF(SUM(F9:F11)=0,0,SUM(F9:F11)/'Sm Comm Cust Fcst'!$C43)</f>
        <v>2881.1695086520444</v>
      </c>
      <c r="G42" s="83">
        <f>IF(SUM(G9:G11)=0,0,SUM(G9:G11)/'Sm Comm Cust Fcst'!$C43)</f>
        <v>687.30003511056714</v>
      </c>
      <c r="H42" s="83">
        <f>IF(SUM(H9:H11)=0,0,SUM(H9:H11)/'Sm Comm Cust Fcst'!$C43)</f>
        <v>297.01685728884092</v>
      </c>
      <c r="I42" s="292">
        <f>SUM(F42:H42)</f>
        <v>3865.4864010514525</v>
      </c>
      <c r="J42" s="291">
        <f>IF(SUM(J9:J11)=0,0,SUM(J9:J11)/'Sm Comm Cust Fcst'!$D43)</f>
        <v>2393.3151280328416</v>
      </c>
      <c r="K42" s="83">
        <f>IF(SUM(K9:K11)=0,0,SUM(K9:K11)/'Sm Comm Cust Fcst'!$D43)</f>
        <v>683.05241649073423</v>
      </c>
      <c r="L42" s="83">
        <f>IF(SUM(L9:L11)=0,0,SUM(L9:L11)/'Sm Comm Cust Fcst'!$D43)</f>
        <v>297.01685728884092</v>
      </c>
      <c r="M42" s="292">
        <f>SUM(J42:L42)</f>
        <v>3373.3844018124169</v>
      </c>
      <c r="N42" s="291">
        <f>IF(SUM(N9:N11)=0,0,SUM(N9:N11)/'Sm Comm Cust Fcst'!$E43)</f>
        <v>2977.9565556856396</v>
      </c>
      <c r="O42" s="83">
        <f>IF(SUM(O9:O11)=0,0,SUM(O9:O11)/'Sm Comm Cust Fcst'!$E43)</f>
        <v>718.29191911453256</v>
      </c>
      <c r="P42" s="83">
        <f>IF(SUM(P9:P11)=0,0,SUM(P9:P11)/'Sm Comm Cust Fcst'!$E43)</f>
        <v>297.01685728884092</v>
      </c>
      <c r="Q42" s="292">
        <f>SUM(N42:P42)</f>
        <v>3993.2653320890131</v>
      </c>
      <c r="R42" s="291">
        <f>IF(SUM(R9:R11)=0,0,SUM(R9:R11)/'Sm Comm Cust Fcst'!$F43)</f>
        <v>2031.6513172812186</v>
      </c>
      <c r="S42" s="83">
        <f>IF(SUM(S9:S11)=0,0,SUM(S9:S11)/'Sm Comm Cust Fcst'!$F43)</f>
        <v>482.52152479777362</v>
      </c>
      <c r="T42" s="83">
        <f>IF(SUM(T9:T11)=0,0,SUM(T9:T11)/'Sm Comm Cust Fcst'!$F43)</f>
        <v>271.8887210654641</v>
      </c>
      <c r="U42" s="292">
        <f>SUM(R42:T42)</f>
        <v>2786.0615631444562</v>
      </c>
      <c r="V42" s="291">
        <f>IF(SUM(V9:V11)=0,0,SUM(V9:V11)/'Sm Comm Cust Fcst'!$G43)</f>
        <v>0</v>
      </c>
      <c r="W42" s="83">
        <f>IF(SUM(W9:W11)=0,0,SUM(W9:W11)/'Sm Comm Cust Fcst'!$G43)</f>
        <v>0</v>
      </c>
      <c r="X42" s="83">
        <f>IF(SUM(X9:X11)=0,0,SUM(X9:X11)/'Sm Comm Cust Fcst'!$G43)</f>
        <v>0</v>
      </c>
      <c r="Y42" s="292">
        <f>SUM(V42:X42)</f>
        <v>0</v>
      </c>
      <c r="Z42" s="291">
        <f>IF(SUM(Z9:Z11)=0,0,SUM(Z9:Z11)/'Sm Comm Cust Fcst'!$H43)</f>
        <v>2031.6513172812186</v>
      </c>
      <c r="AA42" s="83">
        <f>IF(SUM(AA9:AA11)=0,0,SUM(AA9:AA11)/'Sm Comm Cust Fcst'!$H43)</f>
        <v>482.52152479777362</v>
      </c>
      <c r="AB42" s="83">
        <f>IF(SUM(AB9:AB11)=0,0,SUM(AB9:AB11)/'Sm Comm Cust Fcst'!$H43)</f>
        <v>271.8887210654641</v>
      </c>
      <c r="AC42" s="292">
        <f>SUM(Z42:AB42)</f>
        <v>2786.0615631444562</v>
      </c>
    </row>
    <row r="43" spans="1:29">
      <c r="A43" s="124" t="s">
        <v>115</v>
      </c>
      <c r="B43" s="291">
        <f>IF(SUM(B12:B13)=0,0,SUM(B12:B13)/'Sm Comm Cust Fcst'!$B44)</f>
        <v>4018.477980851962</v>
      </c>
      <c r="C43" s="83">
        <f>IF(SUM(C12:C13)=0,0,SUM(C12:C13)/'Sm Comm Cust Fcst'!$B44)</f>
        <v>351.35402416662436</v>
      </c>
      <c r="D43" s="83">
        <f>IF(SUM(D12:D13)=0,0,SUM(D12:D13)/'Sm Comm Cust Fcst'!$B44)</f>
        <v>231.0086188513138</v>
      </c>
      <c r="E43" s="292">
        <f>SUM(B43:D43)</f>
        <v>4600.8406238699008</v>
      </c>
      <c r="F43" s="291">
        <f>IF(SUM(F12:F13)=0,0,SUM(F12:F13)/'Sm Comm Cust Fcst'!$C44)</f>
        <v>8235.3428455637586</v>
      </c>
      <c r="G43" s="83">
        <f>IF(SUM(G12:G13)=0,0,SUM(G12:G13)/'Sm Comm Cust Fcst'!$C44)</f>
        <v>799.64561462494157</v>
      </c>
      <c r="H43" s="83">
        <f>IF(SUM(H12:H13)=0,0,SUM(H12:H13)/'Sm Comm Cust Fcst'!$C44)</f>
        <v>297.01685728884092</v>
      </c>
      <c r="I43" s="292">
        <f>SUM(F43:H43)</f>
        <v>9332.0053174775421</v>
      </c>
      <c r="J43" s="291">
        <f>IF(SUM(J12:J13)=0,0,SUM(J12:J13)/'Sm Comm Cust Fcst'!$D44)</f>
        <v>10102.367348594898</v>
      </c>
      <c r="K43" s="83">
        <f>IF(SUM(K12:K13)=0,0,SUM(K12:K13)/'Sm Comm Cust Fcst'!$D44)</f>
        <v>831.2831628789894</v>
      </c>
      <c r="L43" s="83">
        <f>IF(SUM(L12:L13)=0,0,SUM(L12:L13)/'Sm Comm Cust Fcst'!$D44)</f>
        <v>297.01685728884092</v>
      </c>
      <c r="M43" s="292">
        <f>SUM(J43:L43)</f>
        <v>11230.66736876273</v>
      </c>
      <c r="N43" s="291">
        <f>IF(SUM(N12:N13)=0,0,SUM(N12:N13)/'Sm Comm Cust Fcst'!$E44)</f>
        <v>5836.7948491438538</v>
      </c>
      <c r="O43" s="83">
        <f>IF(SUM(O12:O13)=0,0,SUM(O12:O13)/'Sm Comm Cust Fcst'!$E44)</f>
        <v>761.68055672008393</v>
      </c>
      <c r="P43" s="83">
        <f>IF(SUM(P12:P13)=0,0,SUM(P12:P13)/'Sm Comm Cust Fcst'!$E44)</f>
        <v>297.01685728884092</v>
      </c>
      <c r="Q43" s="292">
        <f>SUM(N43:P43)</f>
        <v>6895.4922631527779</v>
      </c>
      <c r="R43" s="291">
        <f>IF(SUM(R12:R13)=0,0,SUM(R12:R13)/'Sm Comm Cust Fcst'!$F44)</f>
        <v>6880.4710826537967</v>
      </c>
      <c r="S43" s="83">
        <f>IF(SUM(S12:S13)=0,0,SUM(S12:S13)/'Sm Comm Cust Fcst'!$F44)</f>
        <v>596.43576813779839</v>
      </c>
      <c r="T43" s="83">
        <f>IF(SUM(T12:T13)=0,0,SUM(T12:T13)/'Sm Comm Cust Fcst'!$F44)</f>
        <v>265.42317051532365</v>
      </c>
      <c r="U43" s="292">
        <f>SUM(R43:T43)</f>
        <v>7742.3300213069188</v>
      </c>
      <c r="V43" s="291">
        <f>IF(SUM(V12:V13)=0,0,SUM(V12:V13)/'Sm Comm Cust Fcst'!$G44)</f>
        <v>0</v>
      </c>
      <c r="W43" s="83">
        <f>IF(SUM(W12:W13)=0,0,SUM(W12:W13)/'Sm Comm Cust Fcst'!$G44)</f>
        <v>0</v>
      </c>
      <c r="X43" s="83">
        <f>IF(SUM(X12:X13)=0,0,SUM(X12:X13)/'Sm Comm Cust Fcst'!$G44)</f>
        <v>0</v>
      </c>
      <c r="Y43" s="292">
        <f>SUM(V43:X43)</f>
        <v>0</v>
      </c>
      <c r="Z43" s="291">
        <f>IF(SUM(Z12:Z13)=0,0,SUM(Z12:Z13)/'Sm Comm Cust Fcst'!$H44)</f>
        <v>6880.4710826537967</v>
      </c>
      <c r="AA43" s="83">
        <f>IF(SUM(AA12:AA13)=0,0,SUM(AA12:AA13)/'Sm Comm Cust Fcst'!$H44)</f>
        <v>596.43576813779839</v>
      </c>
      <c r="AB43" s="83">
        <f>IF(SUM(AB12:AB13)=0,0,SUM(AB12:AB13)/'Sm Comm Cust Fcst'!$H44)</f>
        <v>265.42317051532365</v>
      </c>
      <c r="AC43" s="292">
        <f>SUM(Z43:AB43)</f>
        <v>7742.3300213069188</v>
      </c>
    </row>
    <row r="44" spans="1:29" ht="13.5" thickBot="1">
      <c r="A44" s="179" t="s">
        <v>116</v>
      </c>
      <c r="B44" s="370">
        <f>IF(SUM(B14:B38)=0,0,SUM(B14:B38)/'Sm Comm Cust Fcst'!$B45)</f>
        <v>5150.0808789771727</v>
      </c>
      <c r="C44" s="306">
        <f>IF(SUM(C14:C38)=0,0,SUM(C14:C38)/'Sm Comm Cust Fcst'!$B45)</f>
        <v>671.30102360008686</v>
      </c>
      <c r="D44" s="306">
        <f>IF(SUM(D14:D38)=0,0,SUM(D14:D38)/'Sm Comm Cust Fcst'!$B45)</f>
        <v>231.00861885131383</v>
      </c>
      <c r="E44" s="375">
        <f>SUM(B44:D44)</f>
        <v>6052.3905214285733</v>
      </c>
      <c r="F44" s="370">
        <f>IF(SUM(F14:F38)=0,0,SUM(F14:F38)/'Sm Comm Cust Fcst'!$C45)</f>
        <v>0</v>
      </c>
      <c r="G44" s="306">
        <f>IF(SUM(G14:G38)=0,0,SUM(G14:G38)/'Sm Comm Cust Fcst'!$C45)</f>
        <v>0</v>
      </c>
      <c r="H44" s="306">
        <f>IF(SUM(H14:H38)=0,0,SUM(H14:H38)/'Sm Comm Cust Fcst'!$C45)</f>
        <v>0</v>
      </c>
      <c r="I44" s="375">
        <f>SUM(F44:H44)</f>
        <v>0</v>
      </c>
      <c r="J44" s="370">
        <f>IF(SUM(J14:J38)=0,0,SUM(J14:J38)/'Sm Comm Cust Fcst'!$D45)</f>
        <v>15889.087541410105</v>
      </c>
      <c r="K44" s="306">
        <f>IF(SUM(K14:K38)=0,0,SUM(K14:K38)/'Sm Comm Cust Fcst'!$D45)</f>
        <v>2080.7943503249162</v>
      </c>
      <c r="L44" s="306">
        <f>IF(SUM(L14:L38)=0,0,SUM(L14:L38)/'Sm Comm Cust Fcst'!$D45)</f>
        <v>545.13962161714471</v>
      </c>
      <c r="M44" s="375">
        <f>SUM(J44:L44)</f>
        <v>18515.021513352167</v>
      </c>
      <c r="N44" s="370">
        <f>IF(SUM(N14:N38)=0,0,SUM(N14:N38)/'Sm Comm Cust Fcst'!$E45)</f>
        <v>13132.78841057367</v>
      </c>
      <c r="O44" s="306">
        <f>IF(SUM(O14:O38)=0,0,SUM(O14:O38)/'Sm Comm Cust Fcst'!$E45)</f>
        <v>1187.8925209913082</v>
      </c>
      <c r="P44" s="306">
        <f>IF(SUM(P14:P38)=0,0,SUM(P14:P38)/'Sm Comm Cust Fcst'!$E45)</f>
        <v>576.15496715818267</v>
      </c>
      <c r="Q44" s="375">
        <f>SUM(N44:P44)</f>
        <v>14896.835898723162</v>
      </c>
      <c r="R44" s="370">
        <f>IF(SUM(R14:R38)=0,0,SUM(R14:R38)/'Sm Comm Cust Fcst'!$F45)</f>
        <v>11917.548778360455</v>
      </c>
      <c r="S44" s="306">
        <f>IF(SUM(S14:S38)=0,0,SUM(S14:S38)/'Sm Comm Cust Fcst'!$F45)</f>
        <v>1447.7118620257893</v>
      </c>
      <c r="T44" s="306">
        <f>IF(SUM(T14:T38)=0,0,SUM(T14:T38)/'Sm Comm Cust Fcst'!$F45)</f>
        <v>452.46990401552188</v>
      </c>
      <c r="U44" s="375">
        <f>SUM(R44:T44)</f>
        <v>13817.730544401766</v>
      </c>
      <c r="V44" s="370">
        <f>IF(SUM(V14:V38)=0,0,SUM(V14:V38)/'Sm Comm Cust Fcst'!$G45)</f>
        <v>0</v>
      </c>
      <c r="W44" s="306">
        <f>IF(SUM(W14:W38)=0,0,SUM(W14:W38)/'Sm Comm Cust Fcst'!$G45)</f>
        <v>0</v>
      </c>
      <c r="X44" s="306">
        <f>IF(SUM(X14:X38)=0,0,SUM(X14:X38)/'Sm Comm Cust Fcst'!$G45)</f>
        <v>0</v>
      </c>
      <c r="Y44" s="375">
        <f>SUM(V44:X44)</f>
        <v>0</v>
      </c>
      <c r="Z44" s="370">
        <f>IF(SUM(Z14:Z38)=0,0,SUM(Z14:Z38)/'Sm Comm Cust Fcst'!$H45)</f>
        <v>11917.548778360455</v>
      </c>
      <c r="AA44" s="306">
        <f>IF(SUM(AA14:AA38)=0,0,SUM(AA14:AA38)/'Sm Comm Cust Fcst'!$H45)</f>
        <v>1447.7118620257893</v>
      </c>
      <c r="AB44" s="306">
        <f>IF(SUM(AB14:AB38)=0,0,SUM(AB14:AB38)/'Sm Comm Cust Fcst'!$H45)</f>
        <v>452.46990401552188</v>
      </c>
      <c r="AC44" s="375">
        <f>SUM(Z44:AB44)</f>
        <v>13817.730544401766</v>
      </c>
    </row>
    <row r="45" spans="1:29">
      <c r="A45" s="49"/>
      <c r="C45" s="12"/>
      <c r="D45" s="12"/>
      <c r="G45" s="12"/>
      <c r="H45" s="12"/>
      <c r="K45" s="12"/>
      <c r="L45" s="12"/>
      <c r="O45" s="12"/>
      <c r="P45" s="12"/>
      <c r="S45" s="12"/>
      <c r="T45" s="12"/>
      <c r="W45" s="12"/>
      <c r="X45" s="12"/>
      <c r="AA45" s="12"/>
      <c r="AB45" s="12"/>
    </row>
    <row r="46" spans="1:29">
      <c r="A46" s="264" t="s">
        <v>91</v>
      </c>
      <c r="B46" s="18"/>
      <c r="C46" s="18"/>
      <c r="D46" s="18"/>
      <c r="E46" s="82">
        <f>IF(SUM(B7:D38)=0,0,SUM(B7:D38)/'Sm Comm Cust Fcst'!$B41)-E40</f>
        <v>0</v>
      </c>
      <c r="F46" s="18"/>
      <c r="G46" s="18"/>
      <c r="H46" s="18"/>
      <c r="I46" s="82">
        <f>IF(SUM(F7:H38)=0,0,SUM(F7:H38)/'Sm Comm Cust Fcst'!$C41)-I40</f>
        <v>0</v>
      </c>
      <c r="J46" s="18"/>
      <c r="K46" s="18"/>
      <c r="L46" s="18"/>
      <c r="M46" s="82">
        <f>IF(SUM(J7:L38)=0,0,SUM(J7:L38)/'Sm Comm Cust Fcst'!$D41)-M40</f>
        <v>0</v>
      </c>
      <c r="N46" s="18"/>
      <c r="O46" s="18"/>
      <c r="P46" s="18"/>
      <c r="Q46" s="82">
        <f>IF(SUM(N7:P38)=0,0,SUM(N7:P38)/'Sm Comm Cust Fcst'!$E41)-Q40</f>
        <v>0</v>
      </c>
      <c r="R46" s="18"/>
      <c r="S46" s="18"/>
      <c r="T46" s="18"/>
      <c r="U46" s="82">
        <f>IF(SUM(R7:T38)=0,0,SUM(R7:T38)/'Sm Comm Cust Fcst'!$F41)-U40</f>
        <v>0</v>
      </c>
      <c r="V46" s="18"/>
      <c r="W46" s="18"/>
      <c r="X46" s="18"/>
      <c r="Y46" s="82">
        <f>IF(SUM(V7:X38)=0,0,SUM(V7:X38)/'Sm Comm Cust Fcst'!$G41)-Y40</f>
        <v>0</v>
      </c>
      <c r="Z46" s="18"/>
      <c r="AA46" s="18"/>
      <c r="AB46" s="18"/>
      <c r="AC46" s="82">
        <f>IF(SUM(Z7:AB38)=0,0,SUM(Z7:AB38)/'Sm Comm Cust Fcst'!$H41)-AC40</f>
        <v>0</v>
      </c>
    </row>
    <row r="47" spans="1:29">
      <c r="B47" s="18"/>
      <c r="E47" s="82">
        <f>IF(SUM(B7:D8)=0,0,SUM(B7:D8)/'Sm Comm Cust Fcst'!$B42)-E41</f>
        <v>0</v>
      </c>
      <c r="I47" s="82">
        <f>IF(SUM(F7:H8)=0,0,SUM(F7:H8)/'Sm Comm Cust Fcst'!$C42)-I41</f>
        <v>0</v>
      </c>
      <c r="M47" s="82">
        <f>IF(SUM(J7:L8)=0,0,SUM(J7:L8)/'Sm Comm Cust Fcst'!$D42)-M41</f>
        <v>0</v>
      </c>
      <c r="Q47" s="82">
        <f>IF(SUM(N7:P8)=0,0,SUM(N7:P8)/'Sm Comm Cust Fcst'!$E42)-Q41</f>
        <v>0</v>
      </c>
      <c r="U47" s="82">
        <f>IF(SUM(R7:T8)=0,0,SUM(R7:T8)/'Sm Comm Cust Fcst'!$F42)-U41</f>
        <v>0</v>
      </c>
      <c r="Y47" s="82">
        <f>IF(SUM(V7:X8)=0,0,SUM(V7:X8)/'Sm Comm Cust Fcst'!$G42)-Y41</f>
        <v>0</v>
      </c>
      <c r="AC47" s="82">
        <f>IF(SUM(Z7:AB8)=0,0,SUM(Z7:AB8)/'Sm Comm Cust Fcst'!$H42)-AC41</f>
        <v>0</v>
      </c>
    </row>
    <row r="48" spans="1:29">
      <c r="E48" s="82">
        <f>IF(SUM(B9:D11)=0,0,SUM(B9:D11)/'Sm Comm Cust Fcst'!$B43)-E42</f>
        <v>0</v>
      </c>
      <c r="I48" s="82">
        <f>IF(SUM(F9:H11)=0,0,SUM(F9:H11)/'Sm Comm Cust Fcst'!$C43)-I42</f>
        <v>0</v>
      </c>
      <c r="M48" s="82">
        <f>IF(SUM(J9:L11)=0,0,SUM(J9:L11)/'Sm Comm Cust Fcst'!$D43)-M42</f>
        <v>0</v>
      </c>
      <c r="Q48" s="82">
        <f>IF(SUM(N9:P11)=0,0,SUM(N9:P11)/'Sm Comm Cust Fcst'!$E43)-Q42</f>
        <v>0</v>
      </c>
      <c r="U48" s="82">
        <f>IF(SUM(R9:T11)=0,0,SUM(R9:T11)/'Sm Comm Cust Fcst'!$F43)-U42</f>
        <v>0</v>
      </c>
      <c r="Y48" s="82">
        <f>IF(SUM(V9:X11)=0,0,SUM(V9:X11)/'Sm Comm Cust Fcst'!$G43)-Y42</f>
        <v>0</v>
      </c>
      <c r="AC48" s="82">
        <f>IF(SUM(Z9:AB11)=0,0,SUM(Z9:AB11)/'Sm Comm Cust Fcst'!$H43)-AC42</f>
        <v>0</v>
      </c>
    </row>
    <row r="49" spans="1:29">
      <c r="E49" s="82">
        <f>IF(SUM(B12:D13)=0,0,SUM(B12:D13)/'Sm Comm Cust Fcst'!$B44)-E43</f>
        <v>0</v>
      </c>
      <c r="I49" s="82">
        <f>IF(SUM(F12:H13)=0,0,SUM(F12:H13)/'Sm Comm Cust Fcst'!$C44)-I43</f>
        <v>0</v>
      </c>
      <c r="M49" s="82">
        <f>IF(SUM(J12:L13)=0,0,SUM(J12:L13)/'Sm Comm Cust Fcst'!$D44)-M43</f>
        <v>0</v>
      </c>
      <c r="Q49" s="82">
        <f>IF(SUM(N12:P13)=0,0,SUM(N12:P13)/'Sm Comm Cust Fcst'!$E44)-Q43</f>
        <v>0</v>
      </c>
      <c r="U49" s="82">
        <f>IF(SUM(R12:T13)=0,0,SUM(R12:T13)/'Sm Comm Cust Fcst'!$F44)-U43</f>
        <v>0</v>
      </c>
      <c r="Y49" s="82">
        <f>IF(SUM(V12:X13)=0,0,SUM(V12:X13)/'Sm Comm Cust Fcst'!$G44)-Y43</f>
        <v>0</v>
      </c>
      <c r="AC49" s="82">
        <f>IF(SUM(Z12:AB13)=0,0,SUM(Z12:AB13)/'Sm Comm Cust Fcst'!$H44)-AC43</f>
        <v>0</v>
      </c>
    </row>
    <row r="50" spans="1:29">
      <c r="A50" s="19"/>
      <c r="E50" s="82">
        <f>IF(SUM(B14:D38)=0,0,SUM(B14:D38)/'Sm Comm Cust Fcst'!$B45)-E44</f>
        <v>0</v>
      </c>
      <c r="I50" s="82">
        <f>IF(SUM(F14:H38)=0,0,SUM(F14:H38)/'Sm Comm Cust Fcst'!$C45)-I44</f>
        <v>0</v>
      </c>
      <c r="M50" s="82">
        <f>IF(SUM(J14:L38)=0,0,SUM(J14:L38)/'Sm Comm Cust Fcst'!$D45)-M44</f>
        <v>0</v>
      </c>
      <c r="Q50" s="82">
        <f>IF(SUM(N14:P38)=0,0,SUM(N14:P38)/'Sm Comm Cust Fcst'!$E45)-Q44</f>
        <v>0</v>
      </c>
      <c r="U50" s="82">
        <f>IF(SUM(R14:T38)=0,0,SUM(R14:T38)/'Sm Comm Cust Fcst'!$F45)-U44</f>
        <v>0</v>
      </c>
      <c r="Y50" s="82">
        <f>IF(SUM(V14:X38)=0,0,SUM(V14:X38)/'Sm Comm Cust Fcst'!$G45)-Y44</f>
        <v>0</v>
      </c>
      <c r="AC50" s="82">
        <f>IF(SUM(Z14:AB38)=0,0,SUM(Z14:AB38)/'Sm Comm Cust Fcst'!$H45)-AC44</f>
        <v>0</v>
      </c>
    </row>
    <row r="62" spans="1:29">
      <c r="A62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8" orientation="portrait" r:id="rId1"/>
  <headerFooter alignWithMargins="0">
    <oddFooter>&amp;L&amp;F
&amp;A&amp;R&amp;P of &amp;N</oddFooter>
  </headerFooter>
  <colBreaks count="1" manualBreakCount="1">
    <brk id="13" max="43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78">
    <tabColor rgb="FF00642D"/>
    <pageSetUpPr fitToPage="1"/>
  </sheetPr>
  <dimension ref="A1:P59"/>
  <sheetViews>
    <sheetView topLeftCell="A8" zoomScaleNormal="100" workbookViewId="0">
      <selection activeCell="L33" sqref="L33"/>
    </sheetView>
  </sheetViews>
  <sheetFormatPr defaultRowHeight="12.75"/>
  <cols>
    <col min="1" max="1" width="41.140625" customWidth="1"/>
    <col min="2" max="11" width="11.140625" customWidth="1"/>
    <col min="12" max="12" width="9.140625" bestFit="1" customWidth="1"/>
    <col min="13" max="15" width="10.28515625" bestFit="1" customWidth="1"/>
    <col min="16" max="16" width="9.140625" bestFit="1" customWidth="1"/>
  </cols>
  <sheetData>
    <row r="1" spans="1:16" ht="18.75" thickBot="1">
      <c r="A1" s="741" t="s">
        <v>346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  <c r="N1" s="741"/>
      <c r="O1" s="741"/>
      <c r="P1" s="741"/>
    </row>
    <row r="2" spans="1:16" ht="13.5" thickBot="1">
      <c r="A2" s="103"/>
      <c r="B2" s="742" t="s">
        <v>339</v>
      </c>
      <c r="C2" s="743"/>
      <c r="D2" s="743"/>
      <c r="E2" s="743"/>
      <c r="F2" s="743"/>
      <c r="G2" s="743"/>
      <c r="H2" s="743"/>
      <c r="I2" s="743"/>
      <c r="J2" s="743"/>
      <c r="K2" s="743"/>
      <c r="L2" s="743"/>
      <c r="M2" s="743"/>
      <c r="N2" s="743"/>
      <c r="O2" s="743"/>
      <c r="P2" s="744"/>
    </row>
    <row r="3" spans="1:16" ht="13.5" thickBot="1">
      <c r="A3" s="163"/>
      <c r="B3" s="742" t="s">
        <v>0</v>
      </c>
      <c r="C3" s="743"/>
      <c r="D3" s="743"/>
      <c r="E3" s="743"/>
      <c r="F3" s="744"/>
      <c r="G3" s="743" t="s">
        <v>1</v>
      </c>
      <c r="H3" s="743"/>
      <c r="I3" s="743"/>
      <c r="J3" s="743"/>
      <c r="K3" s="744"/>
      <c r="L3" s="742" t="s">
        <v>347</v>
      </c>
      <c r="M3" s="743"/>
      <c r="N3" s="743"/>
      <c r="O3" s="743"/>
      <c r="P3" s="744"/>
    </row>
    <row r="4" spans="1:16" ht="13.5" thickBot="1">
      <c r="A4" s="77" t="s">
        <v>47</v>
      </c>
      <c r="B4" s="500" t="s">
        <v>92</v>
      </c>
      <c r="C4" s="501" t="s">
        <v>114</v>
      </c>
      <c r="D4" s="501" t="s">
        <v>115</v>
      </c>
      <c r="E4" s="501" t="s">
        <v>116</v>
      </c>
      <c r="F4" s="502" t="s">
        <v>135</v>
      </c>
      <c r="G4" s="499" t="s">
        <v>92</v>
      </c>
      <c r="H4" s="497" t="s">
        <v>114</v>
      </c>
      <c r="I4" s="497" t="s">
        <v>115</v>
      </c>
      <c r="J4" s="497" t="s">
        <v>116</v>
      </c>
      <c r="K4" s="498" t="s">
        <v>136</v>
      </c>
      <c r="L4" s="499" t="s">
        <v>92</v>
      </c>
      <c r="M4" s="497" t="s">
        <v>114</v>
      </c>
      <c r="N4" s="497" t="s">
        <v>115</v>
      </c>
      <c r="O4" s="497" t="s">
        <v>116</v>
      </c>
      <c r="P4" s="498" t="s">
        <v>2</v>
      </c>
    </row>
    <row r="5" spans="1:16">
      <c r="A5" s="459"/>
      <c r="B5" s="35"/>
      <c r="C5" s="149"/>
      <c r="D5" s="149"/>
      <c r="E5" s="149"/>
      <c r="F5" s="149"/>
      <c r="G5" s="35"/>
      <c r="H5" s="149"/>
      <c r="I5" s="149"/>
      <c r="J5" s="149"/>
      <c r="K5" s="284"/>
      <c r="L5" s="35"/>
      <c r="M5" s="149"/>
      <c r="N5" s="149"/>
      <c r="O5" s="149"/>
      <c r="P5" s="284"/>
    </row>
    <row r="6" spans="1:16">
      <c r="A6" s="117"/>
      <c r="B6" s="36"/>
      <c r="C6" s="66"/>
      <c r="D6" s="66"/>
      <c r="E6" s="66"/>
      <c r="F6" s="66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>
      <c r="A7" s="117" t="s">
        <v>49</v>
      </c>
      <c r="B7" s="36"/>
      <c r="C7" s="66"/>
      <c r="D7" s="66"/>
      <c r="E7" s="66"/>
      <c r="F7" s="66"/>
      <c r="G7" s="36"/>
      <c r="H7" s="66"/>
      <c r="I7" s="66"/>
      <c r="J7" s="66"/>
      <c r="K7" s="132"/>
      <c r="L7" s="36"/>
      <c r="M7" s="66"/>
      <c r="N7" s="66"/>
      <c r="O7" s="66"/>
      <c r="P7" s="132"/>
    </row>
    <row r="8" spans="1:16">
      <c r="A8" s="381"/>
      <c r="B8" s="37"/>
      <c r="C8" s="67"/>
      <c r="D8" s="67"/>
      <c r="E8" s="67"/>
      <c r="F8" s="67"/>
      <c r="G8" s="37"/>
      <c r="H8" s="67"/>
      <c r="I8" s="67"/>
      <c r="J8" s="67"/>
      <c r="K8" s="133"/>
      <c r="L8" s="37"/>
      <c r="M8" s="67"/>
      <c r="N8" s="67"/>
      <c r="O8" s="67"/>
      <c r="P8" s="133"/>
    </row>
    <row r="9" spans="1:16">
      <c r="A9" s="117" t="s">
        <v>53</v>
      </c>
      <c r="B9" s="111">
        <f>'Sch TOU-A TSM'!$R$41</f>
        <v>589.20209093746712</v>
      </c>
      <c r="C9" s="33">
        <f>'Sch TOU-A TSM'!$R$42</f>
        <v>2031.6513172812186</v>
      </c>
      <c r="D9" s="33">
        <f>'Sch TOU-A TSM'!$R$43</f>
        <v>6880.4710826537967</v>
      </c>
      <c r="E9" s="33">
        <f>'Sch TOU-A TSM'!$R$44</f>
        <v>11917.548778360455</v>
      </c>
      <c r="F9" s="33">
        <f>'Sch TOU-A TSM'!$R$40</f>
        <v>2861.8799519419031</v>
      </c>
      <c r="G9" s="111"/>
      <c r="H9" s="33"/>
      <c r="I9" s="33"/>
      <c r="J9" s="33"/>
      <c r="K9" s="34"/>
      <c r="L9" s="111">
        <f>'Sch TOU-A TSM'!$Z$41</f>
        <v>589.20209093746712</v>
      </c>
      <c r="M9" s="33">
        <f>'Sch TOU-A TSM'!$Z$42</f>
        <v>2031.6513172812186</v>
      </c>
      <c r="N9" s="33">
        <f>'Sch TOU-A TSM'!$Z$43</f>
        <v>6880.4710826537967</v>
      </c>
      <c r="O9" s="33">
        <f>'Sch TOU-A TSM'!$Z$44</f>
        <v>11917.548778360455</v>
      </c>
      <c r="P9" s="34">
        <f>'Sch TOU-A TSM'!$Z$40</f>
        <v>2861.8799519419031</v>
      </c>
    </row>
    <row r="10" spans="1:16">
      <c r="A10" s="117" t="s">
        <v>51</v>
      </c>
      <c r="B10" s="111">
        <f>'Sch TOU-A TSM'!$S$41</f>
        <v>328.678580465099</v>
      </c>
      <c r="C10" s="33">
        <f>'Sch TOU-A TSM'!$S$42</f>
        <v>482.52152479777362</v>
      </c>
      <c r="D10" s="33">
        <f>'Sch TOU-A TSM'!$S$43</f>
        <v>596.43576813779839</v>
      </c>
      <c r="E10" s="33">
        <f>'Sch TOU-A TSM'!$S$44</f>
        <v>1447.7118620257893</v>
      </c>
      <c r="F10" s="33">
        <f>'Sch TOU-A TSM'!$S$40</f>
        <v>494.94328406706217</v>
      </c>
      <c r="G10" s="111"/>
      <c r="H10" s="33"/>
      <c r="I10" s="33"/>
      <c r="J10" s="33"/>
      <c r="K10" s="34"/>
      <c r="L10" s="111">
        <f>'Sch TOU-A TSM'!$AA$41</f>
        <v>328.678580465099</v>
      </c>
      <c r="M10" s="33">
        <f>'Sch TOU-A TSM'!$AA$42</f>
        <v>482.52152479777362</v>
      </c>
      <c r="N10" s="33">
        <f>'Sch TOU-A TSM'!$AA$43</f>
        <v>596.43576813779839</v>
      </c>
      <c r="O10" s="33">
        <f>'Sch TOU-A TSM'!$AA$44</f>
        <v>1447.7118620257893</v>
      </c>
      <c r="P10" s="34">
        <f>'Sch TOU-A TSM'!$AA$40</f>
        <v>494.94328406706217</v>
      </c>
    </row>
    <row r="11" spans="1:16">
      <c r="A11" s="117" t="s">
        <v>52</v>
      </c>
      <c r="B11" s="111">
        <f>'Sch TOU-A TSM'!$T$41</f>
        <v>259.72648882088731</v>
      </c>
      <c r="C11" s="33">
        <f>'Sch TOU-A TSM'!$T$42</f>
        <v>271.8887210654641</v>
      </c>
      <c r="D11" s="33">
        <f>'Sch TOU-A TSM'!$T$43</f>
        <v>265.42317051532365</v>
      </c>
      <c r="E11" s="33">
        <f>'Sch TOU-A TSM'!$T$44</f>
        <v>452.46990401552188</v>
      </c>
      <c r="F11" s="33">
        <f>'Sch TOU-A TSM'!$T$40</f>
        <v>273.1373025234389</v>
      </c>
      <c r="G11" s="111"/>
      <c r="H11" s="33"/>
      <c r="I11" s="33"/>
      <c r="J11" s="33"/>
      <c r="K11" s="34"/>
      <c r="L11" s="111">
        <f>'Sch TOU-A TSM'!$AB$41</f>
        <v>259.72648882088731</v>
      </c>
      <c r="M11" s="33">
        <f>'Sch TOU-A TSM'!$AB$42</f>
        <v>271.8887210654641</v>
      </c>
      <c r="N11" s="33">
        <f>'Sch TOU-A TSM'!$AB$43</f>
        <v>265.42317051532365</v>
      </c>
      <c r="O11" s="33">
        <f>'Sch TOU-A TSM'!$AB$44</f>
        <v>452.46990401552188</v>
      </c>
      <c r="P11" s="34">
        <f>'Sch TOU-A TSM'!$AB$40</f>
        <v>273.1373025234389</v>
      </c>
    </row>
    <row r="12" spans="1:16">
      <c r="A12" s="382"/>
      <c r="B12" s="38"/>
      <c r="C12" s="68"/>
      <c r="D12" s="68"/>
      <c r="E12" s="68"/>
      <c r="F12" s="68"/>
      <c r="G12" s="38"/>
      <c r="H12" s="68"/>
      <c r="I12" s="68"/>
      <c r="J12" s="68"/>
      <c r="K12" s="286"/>
      <c r="L12" s="38"/>
      <c r="M12" s="68"/>
      <c r="N12" s="68"/>
      <c r="O12" s="68"/>
      <c r="P12" s="286"/>
    </row>
    <row r="13" spans="1:16">
      <c r="A13" s="117" t="s">
        <v>35</v>
      </c>
      <c r="B13" s="114">
        <f t="shared" ref="B13:P13" si="0">SUM(B9:B11)</f>
        <v>1177.6071602234533</v>
      </c>
      <c r="C13" s="30">
        <f t="shared" si="0"/>
        <v>2786.0615631444562</v>
      </c>
      <c r="D13" s="30">
        <f t="shared" si="0"/>
        <v>7742.3300213069188</v>
      </c>
      <c r="E13" s="30">
        <f t="shared" si="0"/>
        <v>13817.730544401766</v>
      </c>
      <c r="F13" s="30">
        <f t="shared" si="0"/>
        <v>3629.9605385324039</v>
      </c>
      <c r="G13" s="114"/>
      <c r="H13" s="30"/>
      <c r="I13" s="30"/>
      <c r="J13" s="30"/>
      <c r="K13" s="40"/>
      <c r="L13" s="114">
        <f t="shared" si="0"/>
        <v>1177.6071602234533</v>
      </c>
      <c r="M13" s="30">
        <f t="shared" si="0"/>
        <v>2786.0615631444562</v>
      </c>
      <c r="N13" s="30">
        <f t="shared" si="0"/>
        <v>7742.3300213069188</v>
      </c>
      <c r="O13" s="30">
        <f t="shared" si="0"/>
        <v>13817.730544401766</v>
      </c>
      <c r="P13" s="40">
        <f t="shared" si="0"/>
        <v>3629.9605385324039</v>
      </c>
    </row>
    <row r="14" spans="1:16">
      <c r="A14" s="382"/>
      <c r="B14" s="38"/>
      <c r="C14" s="68"/>
      <c r="D14" s="68"/>
      <c r="E14" s="68"/>
      <c r="F14" s="68"/>
      <c r="G14" s="38"/>
      <c r="H14" s="68"/>
      <c r="I14" s="68"/>
      <c r="J14" s="68"/>
      <c r="K14" s="286"/>
      <c r="L14" s="38"/>
      <c r="M14" s="68"/>
      <c r="N14" s="68"/>
      <c r="O14" s="68"/>
      <c r="P14" s="286"/>
    </row>
    <row r="15" spans="1:16">
      <c r="A15" s="117" t="s">
        <v>61</v>
      </c>
      <c r="B15" s="114"/>
      <c r="C15" s="30"/>
      <c r="D15" s="30"/>
      <c r="E15" s="30"/>
      <c r="F15" s="3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6">
      <c r="A16" s="383">
        <f>Inputs!C3</f>
        <v>2.7723662892949787E-2</v>
      </c>
      <c r="B16" s="114"/>
      <c r="C16" s="30"/>
      <c r="D16" s="30"/>
      <c r="E16" s="30"/>
      <c r="F16" s="3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6">
      <c r="A17" s="36" t="s">
        <v>60</v>
      </c>
      <c r="B17" s="114"/>
      <c r="C17" s="30"/>
      <c r="D17" s="30"/>
      <c r="E17" s="30"/>
      <c r="F17" s="3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6">
      <c r="A18" s="47">
        <f>Inputs!C4</f>
        <v>1.5023E-2</v>
      </c>
      <c r="B18" s="114"/>
      <c r="C18" s="30"/>
      <c r="D18" s="30"/>
      <c r="E18" s="30"/>
      <c r="F18" s="3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6">
      <c r="A19" s="383"/>
      <c r="B19" s="114"/>
      <c r="C19" s="30"/>
      <c r="D19" s="30"/>
      <c r="E19" s="30"/>
      <c r="F19" s="30"/>
      <c r="G19" s="114"/>
      <c r="H19" s="30"/>
      <c r="I19" s="30"/>
      <c r="J19" s="30"/>
      <c r="K19" s="40"/>
      <c r="L19" s="114"/>
      <c r="M19" s="30"/>
      <c r="N19" s="30"/>
      <c r="O19" s="30"/>
      <c r="P19" s="40"/>
    </row>
    <row r="20" spans="1:16">
      <c r="A20" s="384" t="s">
        <v>97</v>
      </c>
      <c r="B20" s="30">
        <f>(B9*(1+$A$16)*(1+$A$18))</f>
        <v>614.63391239809016</v>
      </c>
      <c r="C20" s="30">
        <f t="shared" ref="C20:P20" si="1">(C9*(1+$A$16)*(1+$A$18))</f>
        <v>2119.3437989713743</v>
      </c>
      <c r="D20" s="30">
        <f t="shared" si="1"/>
        <v>7177.4539257740898</v>
      </c>
      <c r="E20" s="30">
        <f t="shared" si="1"/>
        <v>12431.94778922835</v>
      </c>
      <c r="F20" s="30">
        <f t="shared" si="1"/>
        <v>2985.4077212743564</v>
      </c>
      <c r="G20" s="114"/>
      <c r="H20" s="30"/>
      <c r="I20" s="30"/>
      <c r="J20" s="30"/>
      <c r="K20" s="40"/>
      <c r="L20" s="114">
        <f t="shared" si="1"/>
        <v>614.63391239809016</v>
      </c>
      <c r="M20" s="30">
        <f t="shared" si="1"/>
        <v>2119.3437989713743</v>
      </c>
      <c r="N20" s="30">
        <f t="shared" si="1"/>
        <v>7177.4539257740898</v>
      </c>
      <c r="O20" s="30">
        <f t="shared" si="1"/>
        <v>12431.94778922835</v>
      </c>
      <c r="P20" s="40">
        <f t="shared" si="1"/>
        <v>2985.4077212743564</v>
      </c>
    </row>
    <row r="21" spans="1:16">
      <c r="A21" s="384" t="s">
        <v>51</v>
      </c>
      <c r="B21" s="30">
        <f t="shared" ref="B21:P22" si="2">(B10*(1+$A$16)*(1+$A$18))</f>
        <v>342.86538513685389</v>
      </c>
      <c r="C21" s="30">
        <f t="shared" si="2"/>
        <v>503.34867639535162</v>
      </c>
      <c r="D21" s="30">
        <f t="shared" si="2"/>
        <v>622.17981793211561</v>
      </c>
      <c r="E21" s="30">
        <f t="shared" si="2"/>
        <v>1510.1996742175038</v>
      </c>
      <c r="F21" s="30">
        <f t="shared" si="2"/>
        <v>516.30659799132286</v>
      </c>
      <c r="G21" s="114"/>
      <c r="H21" s="30"/>
      <c r="I21" s="30"/>
      <c r="J21" s="30"/>
      <c r="K21" s="40"/>
      <c r="L21" s="114">
        <f t="shared" si="2"/>
        <v>342.86538513685389</v>
      </c>
      <c r="M21" s="30">
        <f t="shared" si="2"/>
        <v>503.34867639535162</v>
      </c>
      <c r="N21" s="30">
        <f t="shared" si="2"/>
        <v>622.17981793211561</v>
      </c>
      <c r="O21" s="30">
        <f t="shared" si="2"/>
        <v>1510.1996742175038</v>
      </c>
      <c r="P21" s="40">
        <f t="shared" si="2"/>
        <v>516.30659799132286</v>
      </c>
    </row>
    <row r="22" spans="1:16">
      <c r="A22" s="384" t="s">
        <v>52</v>
      </c>
      <c r="B22" s="30">
        <f t="shared" si="2"/>
        <v>270.93710364029113</v>
      </c>
      <c r="C22" s="30">
        <f t="shared" si="2"/>
        <v>283.62429620623169</v>
      </c>
      <c r="D22" s="30">
        <f t="shared" si="2"/>
        <v>276.87967209242788</v>
      </c>
      <c r="E22" s="30">
        <f t="shared" si="2"/>
        <v>471.99993283283175</v>
      </c>
      <c r="F22" s="30">
        <f t="shared" si="2"/>
        <v>284.92677037980718</v>
      </c>
      <c r="G22" s="114"/>
      <c r="H22" s="30"/>
      <c r="I22" s="30"/>
      <c r="J22" s="30"/>
      <c r="K22" s="40"/>
      <c r="L22" s="114">
        <f t="shared" si="2"/>
        <v>270.93710364029113</v>
      </c>
      <c r="M22" s="30">
        <f t="shared" si="2"/>
        <v>283.62429620623169</v>
      </c>
      <c r="N22" s="30">
        <f t="shared" si="2"/>
        <v>276.87967209242788</v>
      </c>
      <c r="O22" s="30">
        <f t="shared" si="2"/>
        <v>471.99993283283175</v>
      </c>
      <c r="P22" s="40">
        <f t="shared" si="2"/>
        <v>284.92677037980718</v>
      </c>
    </row>
    <row r="23" spans="1:16">
      <c r="A23" s="383"/>
      <c r="B23" s="114"/>
      <c r="C23" s="30"/>
      <c r="D23" s="30"/>
      <c r="E23" s="30"/>
      <c r="F23" s="30"/>
      <c r="G23" s="114"/>
      <c r="H23" s="30"/>
      <c r="I23" s="30"/>
      <c r="J23" s="30"/>
      <c r="K23" s="40"/>
      <c r="L23" s="114"/>
      <c r="M23" s="30"/>
      <c r="N23" s="30"/>
      <c r="O23" s="30"/>
      <c r="P23" s="40"/>
    </row>
    <row r="24" spans="1:16">
      <c r="A24" s="117" t="s">
        <v>35</v>
      </c>
      <c r="B24" s="114">
        <f t="shared" ref="B24:P24" si="3">SUM(B20:B22)</f>
        <v>1228.4364011752352</v>
      </c>
      <c r="C24" s="30">
        <f t="shared" si="3"/>
        <v>2906.3167715729574</v>
      </c>
      <c r="D24" s="30">
        <f t="shared" si="3"/>
        <v>8076.513415798634</v>
      </c>
      <c r="E24" s="30">
        <f t="shared" si="3"/>
        <v>14414.147396278686</v>
      </c>
      <c r="F24" s="30">
        <f t="shared" si="3"/>
        <v>3786.6410896454868</v>
      </c>
      <c r="G24" s="114"/>
      <c r="H24" s="30"/>
      <c r="I24" s="30"/>
      <c r="J24" s="30"/>
      <c r="K24" s="40"/>
      <c r="L24" s="114">
        <f t="shared" si="3"/>
        <v>1228.4364011752352</v>
      </c>
      <c r="M24" s="30">
        <f t="shared" si="3"/>
        <v>2906.3167715729574</v>
      </c>
      <c r="N24" s="30">
        <f t="shared" si="3"/>
        <v>8076.513415798634</v>
      </c>
      <c r="O24" s="30">
        <f t="shared" si="3"/>
        <v>14414.147396278686</v>
      </c>
      <c r="P24" s="40">
        <f t="shared" si="3"/>
        <v>3786.6410896454868</v>
      </c>
    </row>
    <row r="25" spans="1:16">
      <c r="A25" s="117"/>
      <c r="B25" s="114"/>
      <c r="C25" s="30"/>
      <c r="D25" s="30"/>
      <c r="E25" s="30"/>
      <c r="F25" s="30"/>
      <c r="G25" s="114"/>
      <c r="H25" s="30"/>
      <c r="I25" s="30"/>
      <c r="J25" s="30"/>
      <c r="K25" s="40"/>
      <c r="L25" s="114"/>
      <c r="M25" s="30"/>
      <c r="N25" s="30"/>
      <c r="O25" s="30"/>
      <c r="P25" s="40"/>
    </row>
    <row r="26" spans="1:16">
      <c r="A26" s="384" t="str">
        <f>'Resid TSM Sum by Rate Schedule'!A25</f>
        <v>Annualized Transformer Cost at 8.05%</v>
      </c>
      <c r="B26" s="119">
        <f>B20*Inputs!$C$5</f>
        <v>49.464915217548914</v>
      </c>
      <c r="C26" s="73">
        <f>C20*Inputs!$C$5</f>
        <v>170.5619543899459</v>
      </c>
      <c r="D26" s="73">
        <f>D20*Inputs!$C$5</f>
        <v>577.63189234233039</v>
      </c>
      <c r="E26" s="73">
        <f>E20*Inputs!$C$5</f>
        <v>1000.5065307637682</v>
      </c>
      <c r="F26" s="73">
        <f>F20*Inputs!$C$5</f>
        <v>240.26162052543262</v>
      </c>
      <c r="G26" s="119"/>
      <c r="H26" s="73"/>
      <c r="I26" s="73"/>
      <c r="J26" s="73"/>
      <c r="K26" s="75"/>
      <c r="L26" s="119">
        <f>L20*Inputs!$C$5</f>
        <v>49.464915217548914</v>
      </c>
      <c r="M26" s="73">
        <f>M20*Inputs!$C$5</f>
        <v>170.5619543899459</v>
      </c>
      <c r="N26" s="73">
        <f>N20*Inputs!$C$5</f>
        <v>577.63189234233039</v>
      </c>
      <c r="O26" s="73">
        <f>O20*Inputs!$C$5</f>
        <v>1000.5065307637682</v>
      </c>
      <c r="P26" s="75">
        <f>P20*Inputs!$C$5</f>
        <v>240.26162052543262</v>
      </c>
    </row>
    <row r="27" spans="1:16">
      <c r="A27" s="384" t="str">
        <f>'Resid TSM Sum by Rate Schedule'!A26</f>
        <v>Annualized Services Cost at 7.08%</v>
      </c>
      <c r="B27" s="119">
        <f>B21*Inputs!$C$6</f>
        <v>24.266318185006774</v>
      </c>
      <c r="C27" s="73">
        <f>C21*Inputs!$C$6</f>
        <v>35.624532743473814</v>
      </c>
      <c r="D27" s="73">
        <f>D21*Inputs!$C$6</f>
        <v>44.034813908683041</v>
      </c>
      <c r="E27" s="73">
        <f>E21*Inputs!$C$6</f>
        <v>106.88447246673199</v>
      </c>
      <c r="F27" s="73">
        <f>F21*Inputs!$C$6</f>
        <v>36.54163042114898</v>
      </c>
      <c r="G27" s="119"/>
      <c r="H27" s="73"/>
      <c r="I27" s="73"/>
      <c r="J27" s="73"/>
      <c r="K27" s="75"/>
      <c r="L27" s="119">
        <f>L21*Inputs!$C$6</f>
        <v>24.266318185006774</v>
      </c>
      <c r="M27" s="73">
        <f>M21*Inputs!$C$6</f>
        <v>35.624532743473814</v>
      </c>
      <c r="N27" s="73">
        <f>N21*Inputs!$C$6</f>
        <v>44.034813908683041</v>
      </c>
      <c r="O27" s="73">
        <f>O21*Inputs!$C$6</f>
        <v>106.88447246673199</v>
      </c>
      <c r="P27" s="75">
        <f>P21*Inputs!$C$6</f>
        <v>36.54163042114898</v>
      </c>
    </row>
    <row r="28" spans="1:16" ht="15">
      <c r="A28" s="384" t="str">
        <f>'Resid TSM Sum by Rate Schedule'!A27</f>
        <v>Annualized Meter Cost at 10.78%</v>
      </c>
      <c r="B28" s="465">
        <f>B22*Inputs!$C$7</f>
        <v>29.197929655536171</v>
      </c>
      <c r="C28" s="464">
        <f>C22*Inputs!$C$7</f>
        <v>30.565183350542771</v>
      </c>
      <c r="D28" s="464">
        <f>D22*Inputs!$C$7</f>
        <v>29.838339157621419</v>
      </c>
      <c r="E28" s="464">
        <f>E22*Inputs!$C$7</f>
        <v>50.865756853176094</v>
      </c>
      <c r="F28" s="464">
        <f>F22*Inputs!$C$7</f>
        <v>30.705546367594508</v>
      </c>
      <c r="G28" s="465"/>
      <c r="H28" s="464"/>
      <c r="I28" s="464"/>
      <c r="J28" s="464"/>
      <c r="K28" s="463"/>
      <c r="L28" s="465">
        <f>L22*Inputs!$C$7</f>
        <v>29.197929655536171</v>
      </c>
      <c r="M28" s="464">
        <f>M22*Inputs!$C$7</f>
        <v>30.565183350542771</v>
      </c>
      <c r="N28" s="464">
        <f>N22*Inputs!$C$7</f>
        <v>29.838339157621419</v>
      </c>
      <c r="O28" s="464">
        <f>O22*Inputs!$C$7</f>
        <v>50.865756853176094</v>
      </c>
      <c r="P28" s="463">
        <f>P22*Inputs!$C$7</f>
        <v>30.705546367594508</v>
      </c>
    </row>
    <row r="29" spans="1:16">
      <c r="A29" s="459" t="s">
        <v>312</v>
      </c>
      <c r="B29" s="119">
        <f>SUM(B26:B28)</f>
        <v>102.92916305809186</v>
      </c>
      <c r="C29" s="73">
        <f t="shared" ref="C29:P29" si="4">SUM(C26:C28)</f>
        <v>236.7516704839625</v>
      </c>
      <c r="D29" s="73">
        <f t="shared" si="4"/>
        <v>651.50504540863494</v>
      </c>
      <c r="E29" s="73">
        <f t="shared" si="4"/>
        <v>1158.2567600836765</v>
      </c>
      <c r="F29" s="73">
        <f t="shared" si="4"/>
        <v>307.50879731417615</v>
      </c>
      <c r="G29" s="119"/>
      <c r="H29" s="73"/>
      <c r="I29" s="73"/>
      <c r="J29" s="73"/>
      <c r="K29" s="75"/>
      <c r="L29" s="119">
        <f t="shared" si="4"/>
        <v>102.92916305809186</v>
      </c>
      <c r="M29" s="73">
        <f t="shared" si="4"/>
        <v>236.7516704839625</v>
      </c>
      <c r="N29" s="73">
        <f t="shared" si="4"/>
        <v>651.50504540863494</v>
      </c>
      <c r="O29" s="73">
        <f t="shared" si="4"/>
        <v>1158.2567600836765</v>
      </c>
      <c r="P29" s="75">
        <f t="shared" si="4"/>
        <v>307.50879731417615</v>
      </c>
    </row>
    <row r="30" spans="1:16">
      <c r="A30" s="383"/>
      <c r="B30" s="47"/>
      <c r="C30" s="69"/>
      <c r="D30" s="69"/>
      <c r="E30" s="69"/>
      <c r="F30" s="69"/>
      <c r="G30" s="47"/>
      <c r="H30" s="69"/>
      <c r="I30" s="69"/>
      <c r="J30" s="69"/>
      <c r="K30" s="287"/>
      <c r="L30" s="47"/>
      <c r="M30" s="69"/>
      <c r="N30" s="69"/>
      <c r="O30" s="69"/>
      <c r="P30" s="287"/>
    </row>
    <row r="31" spans="1:16">
      <c r="A31" s="117" t="s">
        <v>50</v>
      </c>
      <c r="B31" s="151">
        <f>'Distribution O&amp;M Allocations'!$M$20</f>
        <v>121.88095761866522</v>
      </c>
      <c r="C31" s="70">
        <f>'Distribution O&amp;M Allocations'!$M$20</f>
        <v>121.88095761866522</v>
      </c>
      <c r="D31" s="70">
        <f>'Distribution O&amp;M Allocations'!$M$20</f>
        <v>121.88095761866522</v>
      </c>
      <c r="E31" s="70">
        <f>'Distribution O&amp;M Allocations'!$M$20</f>
        <v>121.88095761866522</v>
      </c>
      <c r="F31" s="70">
        <f>'Distribution O&amp;M Allocations'!$M$20</f>
        <v>121.88095761866522</v>
      </c>
      <c r="G31" s="151"/>
      <c r="H31" s="70"/>
      <c r="I31" s="70"/>
      <c r="J31" s="70"/>
      <c r="K31" s="285"/>
      <c r="L31" s="151">
        <f>B31</f>
        <v>121.88095761866522</v>
      </c>
      <c r="M31" s="70">
        <f t="shared" ref="M31:P31" si="5">C31</f>
        <v>121.88095761866522</v>
      </c>
      <c r="N31" s="70">
        <f t="shared" si="5"/>
        <v>121.88095761866522</v>
      </c>
      <c r="O31" s="70">
        <f t="shared" si="5"/>
        <v>121.88095761866522</v>
      </c>
      <c r="P31" s="285">
        <f t="shared" si="5"/>
        <v>121.88095761866522</v>
      </c>
    </row>
    <row r="32" spans="1:16">
      <c r="A32" s="118"/>
      <c r="B32" s="11"/>
      <c r="C32" s="12"/>
      <c r="D32" s="12"/>
      <c r="E32" s="12"/>
      <c r="F32" s="12"/>
      <c r="G32" s="11"/>
      <c r="H32" s="12"/>
      <c r="I32" s="12"/>
      <c r="J32" s="12"/>
      <c r="K32" s="76"/>
      <c r="L32" s="151"/>
      <c r="M32" s="70"/>
      <c r="N32" s="70"/>
      <c r="O32" s="70"/>
      <c r="P32" s="285"/>
    </row>
    <row r="33" spans="1:16">
      <c r="A33" s="117" t="s">
        <v>57</v>
      </c>
      <c r="B33" s="720">
        <v>52.536506967829752</v>
      </c>
      <c r="C33" s="721">
        <v>52.536506967829752</v>
      </c>
      <c r="D33" s="721">
        <v>52.536506967829752</v>
      </c>
      <c r="E33" s="721">
        <v>52.536506967829752</v>
      </c>
      <c r="F33" s="721">
        <v>52.536506967829752</v>
      </c>
      <c r="G33" s="291"/>
      <c r="H33" s="83"/>
      <c r="I33" s="83"/>
      <c r="J33" s="83"/>
      <c r="K33" s="292"/>
      <c r="L33" s="151">
        <f t="shared" ref="L33" si="6">B33</f>
        <v>52.536506967829752</v>
      </c>
      <c r="M33" s="70">
        <f t="shared" ref="M33" si="7">C33</f>
        <v>52.536506967829752</v>
      </c>
      <c r="N33" s="70">
        <f t="shared" ref="N33" si="8">D33</f>
        <v>52.536506967829752</v>
      </c>
      <c r="O33" s="70">
        <f t="shared" ref="O33" si="9">E33</f>
        <v>52.536506967829752</v>
      </c>
      <c r="P33" s="285">
        <f t="shared" ref="P33" si="10">F33</f>
        <v>52.536506967829752</v>
      </c>
    </row>
    <row r="34" spans="1:16">
      <c r="A34" s="118"/>
      <c r="B34" s="11"/>
      <c r="C34" s="12"/>
      <c r="D34" s="12"/>
      <c r="E34" s="12"/>
      <c r="F34" s="12"/>
      <c r="G34" s="11"/>
      <c r="H34" s="12"/>
      <c r="I34" s="12"/>
      <c r="J34" s="12"/>
      <c r="K34" s="76"/>
      <c r="L34" s="11"/>
      <c r="M34" s="12"/>
      <c r="N34" s="12"/>
      <c r="O34" s="12"/>
      <c r="P34" s="76"/>
    </row>
    <row r="35" spans="1:16" ht="13.5" thickBot="1">
      <c r="A35" s="460" t="s">
        <v>86</v>
      </c>
      <c r="B35" s="288">
        <f t="shared" ref="B35:P35" si="11">B29+B31+B33</f>
        <v>277.34662764458687</v>
      </c>
      <c r="C35" s="289">
        <f t="shared" si="11"/>
        <v>411.16913507045751</v>
      </c>
      <c r="D35" s="289">
        <f t="shared" si="11"/>
        <v>825.92250999512987</v>
      </c>
      <c r="E35" s="289">
        <f t="shared" si="11"/>
        <v>1332.6742246701715</v>
      </c>
      <c r="F35" s="289">
        <f t="shared" si="11"/>
        <v>481.92626190067108</v>
      </c>
      <c r="G35" s="288"/>
      <c r="H35" s="289"/>
      <c r="I35" s="289"/>
      <c r="J35" s="289"/>
      <c r="K35" s="290"/>
      <c r="L35" s="288">
        <f t="shared" si="11"/>
        <v>277.34662764458687</v>
      </c>
      <c r="M35" s="289">
        <f t="shared" si="11"/>
        <v>411.16913507045751</v>
      </c>
      <c r="N35" s="289">
        <f t="shared" si="11"/>
        <v>825.92250999512987</v>
      </c>
      <c r="O35" s="289">
        <f t="shared" si="11"/>
        <v>1332.6742246701715</v>
      </c>
      <c r="P35" s="290">
        <f t="shared" si="11"/>
        <v>481.92626190067108</v>
      </c>
    </row>
    <row r="36" spans="1:16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</row>
    <row r="59" spans="1:1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</row>
  </sheetData>
  <mergeCells count="5">
    <mergeCell ref="A1:P1"/>
    <mergeCell ref="B2:P2"/>
    <mergeCell ref="B3:F3"/>
    <mergeCell ref="G3:K3"/>
    <mergeCell ref="L3:P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79">
    <tabColor rgb="FF00642D"/>
    <pageSetUpPr fitToPage="1"/>
  </sheetPr>
  <dimension ref="A1:P61"/>
  <sheetViews>
    <sheetView zoomScaleNormal="100" workbookViewId="0">
      <selection activeCell="C32" sqref="C32"/>
    </sheetView>
  </sheetViews>
  <sheetFormatPr defaultRowHeight="12.75"/>
  <cols>
    <col min="1" max="1" width="41.140625" customWidth="1"/>
    <col min="2" max="11" width="11.140625" customWidth="1"/>
    <col min="12" max="12" width="9.140625" bestFit="1" customWidth="1"/>
    <col min="13" max="15" width="10.28515625" bestFit="1" customWidth="1"/>
    <col min="16" max="16" width="9.140625" bestFit="1" customWidth="1"/>
  </cols>
  <sheetData>
    <row r="1" spans="1:16" ht="18.75" thickBot="1">
      <c r="A1" s="741" t="s">
        <v>365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  <c r="N1" s="741"/>
      <c r="O1" s="741"/>
      <c r="P1" s="741"/>
    </row>
    <row r="2" spans="1:16" ht="13.5" thickBot="1">
      <c r="A2" s="103"/>
      <c r="B2" s="742" t="s">
        <v>339</v>
      </c>
      <c r="C2" s="743"/>
      <c r="D2" s="743"/>
      <c r="E2" s="743"/>
      <c r="F2" s="743"/>
      <c r="G2" s="743"/>
      <c r="H2" s="743"/>
      <c r="I2" s="743"/>
      <c r="J2" s="743"/>
      <c r="K2" s="743"/>
      <c r="L2" s="743"/>
      <c r="M2" s="743"/>
      <c r="N2" s="743"/>
      <c r="O2" s="743"/>
      <c r="P2" s="744"/>
    </row>
    <row r="3" spans="1:16" ht="13.5" thickBot="1">
      <c r="A3" s="163"/>
      <c r="B3" s="742" t="s">
        <v>0</v>
      </c>
      <c r="C3" s="743"/>
      <c r="D3" s="743"/>
      <c r="E3" s="743"/>
      <c r="F3" s="744"/>
      <c r="G3" s="742" t="s">
        <v>1</v>
      </c>
      <c r="H3" s="743"/>
      <c r="I3" s="743"/>
      <c r="J3" s="743"/>
      <c r="K3" s="744"/>
      <c r="L3" s="742" t="s">
        <v>347</v>
      </c>
      <c r="M3" s="743"/>
      <c r="N3" s="743"/>
      <c r="O3" s="743"/>
      <c r="P3" s="744"/>
    </row>
    <row r="4" spans="1:16" ht="13.5" thickBot="1">
      <c r="A4" s="77" t="s">
        <v>47</v>
      </c>
      <c r="B4" s="500" t="s">
        <v>92</v>
      </c>
      <c r="C4" s="501" t="s">
        <v>114</v>
      </c>
      <c r="D4" s="501" t="s">
        <v>115</v>
      </c>
      <c r="E4" s="501" t="s">
        <v>116</v>
      </c>
      <c r="F4" s="502" t="s">
        <v>135</v>
      </c>
      <c r="G4" s="348" t="s">
        <v>92</v>
      </c>
      <c r="H4" s="349" t="s">
        <v>114</v>
      </c>
      <c r="I4" s="349" t="s">
        <v>115</v>
      </c>
      <c r="J4" s="349" t="s">
        <v>116</v>
      </c>
      <c r="K4" s="350" t="s">
        <v>136</v>
      </c>
      <c r="L4" s="348" t="s">
        <v>92</v>
      </c>
      <c r="M4" s="349" t="s">
        <v>114</v>
      </c>
      <c r="N4" s="349" t="s">
        <v>115</v>
      </c>
      <c r="O4" s="349" t="s">
        <v>116</v>
      </c>
      <c r="P4" s="350" t="s">
        <v>2</v>
      </c>
    </row>
    <row r="5" spans="1:16">
      <c r="A5" s="86"/>
      <c r="B5" s="35"/>
      <c r="C5" s="149"/>
      <c r="D5" s="149"/>
      <c r="E5" s="149"/>
      <c r="F5" s="284"/>
      <c r="G5" s="149"/>
      <c r="H5" s="149"/>
      <c r="I5" s="149"/>
      <c r="J5" s="149"/>
      <c r="K5" s="149"/>
      <c r="L5" s="35"/>
      <c r="M5" s="149"/>
      <c r="N5" s="149"/>
      <c r="O5" s="149"/>
      <c r="P5" s="284"/>
    </row>
    <row r="6" spans="1:16">
      <c r="A6" s="36"/>
      <c r="B6" s="36"/>
      <c r="C6" s="66"/>
      <c r="D6" s="66"/>
      <c r="E6" s="66"/>
      <c r="F6" s="132"/>
      <c r="G6" s="66"/>
      <c r="H6" s="66"/>
      <c r="I6" s="66"/>
      <c r="J6" s="66"/>
      <c r="K6" s="66"/>
      <c r="L6" s="36"/>
      <c r="M6" s="66"/>
      <c r="N6" s="66"/>
      <c r="O6" s="66"/>
      <c r="P6" s="132"/>
    </row>
    <row r="7" spans="1:16">
      <c r="A7" s="36" t="s">
        <v>49</v>
      </c>
      <c r="B7" s="36"/>
      <c r="C7" s="66"/>
      <c r="D7" s="66"/>
      <c r="E7" s="66"/>
      <c r="F7" s="132"/>
      <c r="G7" s="66"/>
      <c r="H7" s="66"/>
      <c r="I7" s="66"/>
      <c r="J7" s="66"/>
      <c r="K7" s="66"/>
      <c r="L7" s="36"/>
      <c r="M7" s="66"/>
      <c r="N7" s="66"/>
      <c r="O7" s="66"/>
      <c r="P7" s="132"/>
    </row>
    <row r="8" spans="1:16">
      <c r="A8" s="37"/>
      <c r="B8" s="37"/>
      <c r="C8" s="67"/>
      <c r="D8" s="67"/>
      <c r="E8" s="67"/>
      <c r="F8" s="133"/>
      <c r="G8" s="67"/>
      <c r="H8" s="67"/>
      <c r="I8" s="67"/>
      <c r="J8" s="67"/>
      <c r="K8" s="67"/>
      <c r="L8" s="37"/>
      <c r="M8" s="67"/>
      <c r="N8" s="67"/>
      <c r="O8" s="67"/>
      <c r="P8" s="133"/>
    </row>
    <row r="9" spans="1:16">
      <c r="A9" s="36" t="s">
        <v>53</v>
      </c>
      <c r="B9" s="111">
        <f>'Sch TOU-A TSM Summary'!B9*Inputs!$C$12</f>
        <v>639.36915147353295</v>
      </c>
      <c r="C9" s="33">
        <f>'Sch TOU-A TSM Summary'!C9*Inputs!$C$12</f>
        <v>2204.6343670529172</v>
      </c>
      <c r="D9" s="33">
        <f>'Sch TOU-A TSM Summary'!D9*Inputs!$C$12</f>
        <v>7466.3023528228241</v>
      </c>
      <c r="E9" s="33">
        <f>'Sch TOU-A TSM Summary'!E9*Inputs!$C$12</f>
        <v>12932.257314194518</v>
      </c>
      <c r="F9" s="34">
        <f>'Sch TOU-A TSM Summary'!F9*Inputs!$C$12</f>
        <v>3105.5520417126436</v>
      </c>
      <c r="G9" s="33"/>
      <c r="H9" s="33"/>
      <c r="I9" s="33"/>
      <c r="J9" s="33"/>
      <c r="K9" s="33"/>
      <c r="L9" s="111">
        <f>'Sch TOU-A TSM Summary'!L9*Inputs!$C$12</f>
        <v>639.36915147353295</v>
      </c>
      <c r="M9" s="33">
        <f>'Sch TOU-A TSM Summary'!M9*Inputs!$C$12</f>
        <v>2204.6343670529172</v>
      </c>
      <c r="N9" s="33">
        <f>'Sch TOU-A TSM Summary'!N9*Inputs!$C$12</f>
        <v>7466.3023528228241</v>
      </c>
      <c r="O9" s="33">
        <f>'Sch TOU-A TSM Summary'!O9*Inputs!$C$12</f>
        <v>12932.257314194518</v>
      </c>
      <c r="P9" s="34">
        <f>'Sch TOU-A TSM Summary'!P9*Inputs!$C$12</f>
        <v>3105.5520417126436</v>
      </c>
    </row>
    <row r="10" spans="1:16">
      <c r="A10" s="36" t="s">
        <v>51</v>
      </c>
      <c r="B10" s="111">
        <f>'Sch TOU-A TSM Summary'!B10*Inputs!$C$12</f>
        <v>356.66361055361369</v>
      </c>
      <c r="C10" s="33">
        <f>'Sch TOU-A TSM Summary'!C10*Inputs!$C$12</f>
        <v>523.60536838354562</v>
      </c>
      <c r="D10" s="33">
        <f>'Sch TOU-A TSM Summary'!D10*Inputs!$C$12</f>
        <v>647.21873334831969</v>
      </c>
      <c r="E10" s="33">
        <f>'Sch TOU-A TSM Summary'!E10*Inputs!$C$12</f>
        <v>1570.9759334507096</v>
      </c>
      <c r="F10" s="34">
        <f>'Sch TOU-A TSM Summary'!F10*Inputs!$C$12</f>
        <v>537.08476671897415</v>
      </c>
      <c r="G10" s="33"/>
      <c r="H10" s="33"/>
      <c r="I10" s="33"/>
      <c r="J10" s="33"/>
      <c r="K10" s="33"/>
      <c r="L10" s="111">
        <f>'Sch TOU-A TSM Summary'!L10*Inputs!$C$12</f>
        <v>356.66361055361369</v>
      </c>
      <c r="M10" s="33">
        <f>'Sch TOU-A TSM Summary'!M10*Inputs!$C$12</f>
        <v>523.60536838354562</v>
      </c>
      <c r="N10" s="33">
        <f>'Sch TOU-A TSM Summary'!N10*Inputs!$C$12</f>
        <v>647.21873334831969</v>
      </c>
      <c r="O10" s="33">
        <f>'Sch TOU-A TSM Summary'!O10*Inputs!$C$12</f>
        <v>1570.9759334507096</v>
      </c>
      <c r="P10" s="34">
        <f>'Sch TOU-A TSM Summary'!P10*Inputs!$C$12</f>
        <v>537.08476671897415</v>
      </c>
    </row>
    <row r="11" spans="1:16">
      <c r="A11" s="36" t="s">
        <v>52</v>
      </c>
      <c r="B11" s="111">
        <f>'Sch TOU-A TSM Summary'!B11*Inputs!$C$12</f>
        <v>281.84065760594029</v>
      </c>
      <c r="C11" s="33">
        <f>'Sch TOU-A TSM Summary'!C11*Inputs!$C$12</f>
        <v>295.03843173105685</v>
      </c>
      <c r="D11" s="33">
        <f>'Sch TOU-A TSM Summary'!D11*Inputs!$C$12</f>
        <v>288.02237793112005</v>
      </c>
      <c r="E11" s="33">
        <f>'Sch TOU-A TSM Summary'!E11*Inputs!$C$12</f>
        <v>490.99503047829211</v>
      </c>
      <c r="F11" s="34">
        <f>'Sch TOU-A TSM Summary'!F11*Inputs!$C$12</f>
        <v>296.39332248859097</v>
      </c>
      <c r="G11" s="33"/>
      <c r="H11" s="33"/>
      <c r="I11" s="33"/>
      <c r="J11" s="33"/>
      <c r="K11" s="33"/>
      <c r="L11" s="111">
        <f>'Sch TOU-A TSM Summary'!L11*Inputs!$C$12</f>
        <v>281.84065760594029</v>
      </c>
      <c r="M11" s="33">
        <f>'Sch TOU-A TSM Summary'!M11*Inputs!$C$12</f>
        <v>295.03843173105685</v>
      </c>
      <c r="N11" s="33">
        <f>'Sch TOU-A TSM Summary'!N11*Inputs!$C$12</f>
        <v>288.02237793112005</v>
      </c>
      <c r="O11" s="33">
        <f>'Sch TOU-A TSM Summary'!O11*Inputs!$C$12</f>
        <v>490.99503047829211</v>
      </c>
      <c r="P11" s="34">
        <f>'Sch TOU-A TSM Summary'!P11*Inputs!$C$12</f>
        <v>296.39332248859097</v>
      </c>
    </row>
    <row r="12" spans="1:16">
      <c r="A12" s="38"/>
      <c r="B12" s="38"/>
      <c r="C12" s="68"/>
      <c r="D12" s="68"/>
      <c r="E12" s="68"/>
      <c r="F12" s="286"/>
      <c r="G12" s="68"/>
      <c r="H12" s="68"/>
      <c r="I12" s="68"/>
      <c r="J12" s="68"/>
      <c r="K12" s="68"/>
      <c r="L12" s="38"/>
      <c r="M12" s="68"/>
      <c r="N12" s="68"/>
      <c r="O12" s="68"/>
      <c r="P12" s="286"/>
    </row>
    <row r="13" spans="1:16">
      <c r="A13" s="36" t="s">
        <v>35</v>
      </c>
      <c r="B13" s="114">
        <f t="shared" ref="B13:P13" si="0">SUM(B9:B11)</f>
        <v>1277.873419633087</v>
      </c>
      <c r="C13" s="30">
        <f t="shared" si="0"/>
        <v>3023.2781671675198</v>
      </c>
      <c r="D13" s="30">
        <f t="shared" si="0"/>
        <v>8401.5434641022639</v>
      </c>
      <c r="E13" s="30">
        <f t="shared" si="0"/>
        <v>14994.228278123519</v>
      </c>
      <c r="F13" s="40">
        <f t="shared" si="0"/>
        <v>3939.0301309202086</v>
      </c>
      <c r="G13" s="30"/>
      <c r="H13" s="30"/>
      <c r="I13" s="30"/>
      <c r="J13" s="30"/>
      <c r="K13" s="30"/>
      <c r="L13" s="114">
        <f t="shared" si="0"/>
        <v>1277.873419633087</v>
      </c>
      <c r="M13" s="30">
        <f t="shared" si="0"/>
        <v>3023.2781671675198</v>
      </c>
      <c r="N13" s="30">
        <f t="shared" si="0"/>
        <v>8401.5434641022639</v>
      </c>
      <c r="O13" s="30">
        <f t="shared" si="0"/>
        <v>14994.228278123519</v>
      </c>
      <c r="P13" s="40">
        <f t="shared" si="0"/>
        <v>3939.0301309202086</v>
      </c>
    </row>
    <row r="14" spans="1:16">
      <c r="A14" s="38"/>
      <c r="B14" s="38"/>
      <c r="C14" s="68"/>
      <c r="D14" s="68"/>
      <c r="E14" s="68"/>
      <c r="F14" s="286"/>
      <c r="G14" s="68"/>
      <c r="H14" s="68"/>
      <c r="I14" s="68"/>
      <c r="J14" s="68"/>
      <c r="K14" s="68"/>
      <c r="L14" s="38"/>
      <c r="M14" s="68"/>
      <c r="N14" s="68"/>
      <c r="O14" s="68"/>
      <c r="P14" s="286"/>
    </row>
    <row r="15" spans="1:16">
      <c r="A15" s="36" t="s">
        <v>61</v>
      </c>
      <c r="B15" s="114"/>
      <c r="C15" s="30"/>
      <c r="D15" s="30"/>
      <c r="E15" s="30"/>
      <c r="F15" s="40"/>
      <c r="G15" s="30"/>
      <c r="H15" s="30"/>
      <c r="I15" s="30"/>
      <c r="J15" s="30"/>
      <c r="K15" s="30"/>
      <c r="L15" s="114"/>
      <c r="M15" s="30"/>
      <c r="N15" s="30"/>
      <c r="O15" s="30"/>
      <c r="P15" s="40"/>
    </row>
    <row r="16" spans="1:16">
      <c r="A16" s="47">
        <f>Inputs!C3</f>
        <v>2.7723662892949787E-2</v>
      </c>
      <c r="B16" s="114"/>
      <c r="C16" s="30"/>
      <c r="D16" s="30"/>
      <c r="E16" s="30"/>
      <c r="F16" s="40"/>
      <c r="G16" s="30"/>
      <c r="H16" s="30"/>
      <c r="I16" s="30"/>
      <c r="J16" s="30"/>
      <c r="K16" s="30"/>
      <c r="L16" s="114"/>
      <c r="M16" s="30"/>
      <c r="N16" s="30"/>
      <c r="O16" s="30"/>
      <c r="P16" s="40"/>
    </row>
    <row r="17" spans="1:16">
      <c r="A17" s="36" t="s">
        <v>60</v>
      </c>
      <c r="B17" s="114"/>
      <c r="C17" s="30"/>
      <c r="D17" s="30"/>
      <c r="E17" s="30"/>
      <c r="F17" s="40"/>
      <c r="G17" s="30"/>
      <c r="H17" s="30"/>
      <c r="I17" s="30"/>
      <c r="J17" s="30"/>
      <c r="K17" s="30"/>
      <c r="L17" s="114"/>
      <c r="M17" s="30"/>
      <c r="N17" s="30"/>
      <c r="O17" s="30"/>
      <c r="P17" s="40"/>
    </row>
    <row r="18" spans="1:16">
      <c r="A18" s="47">
        <f>Inputs!C4</f>
        <v>1.5023E-2</v>
      </c>
      <c r="B18" s="114"/>
      <c r="C18" s="30"/>
      <c r="D18" s="30"/>
      <c r="E18" s="30"/>
      <c r="F18" s="40"/>
      <c r="G18" s="30"/>
      <c r="H18" s="30"/>
      <c r="I18" s="30"/>
      <c r="J18" s="30"/>
      <c r="K18" s="30"/>
      <c r="L18" s="114"/>
      <c r="M18" s="30"/>
      <c r="N18" s="30"/>
      <c r="O18" s="30"/>
      <c r="P18" s="40"/>
    </row>
    <row r="19" spans="1:16">
      <c r="A19" s="47"/>
      <c r="B19" s="114"/>
      <c r="C19" s="30"/>
      <c r="D19" s="30"/>
      <c r="E19" s="30"/>
      <c r="F19" s="40"/>
      <c r="G19" s="30"/>
      <c r="H19" s="30"/>
      <c r="I19" s="30"/>
      <c r="J19" s="30"/>
      <c r="K19" s="30"/>
      <c r="L19" s="114"/>
      <c r="M19" s="30"/>
      <c r="N19" s="30"/>
      <c r="O19" s="30"/>
      <c r="P19" s="40"/>
    </row>
    <row r="20" spans="1:16">
      <c r="A20" s="94" t="s">
        <v>97</v>
      </c>
      <c r="B20" s="114">
        <f>(B9*(1+$A$16)*(1+$A$18))</f>
        <v>666.96634156807841</v>
      </c>
      <c r="C20" s="30">
        <f t="shared" ref="C20:P20" si="1">(C9*(1+$A$16)*(1+$A$18))</f>
        <v>2299.793343015876</v>
      </c>
      <c r="D20" s="30">
        <f t="shared" si="1"/>
        <v>7788.5715221428154</v>
      </c>
      <c r="E20" s="30">
        <f t="shared" si="1"/>
        <v>13490.454347362102</v>
      </c>
      <c r="F20" s="40">
        <f t="shared" si="1"/>
        <v>3239.597467342152</v>
      </c>
      <c r="G20" s="30"/>
      <c r="H20" s="30"/>
      <c r="I20" s="30"/>
      <c r="J20" s="30"/>
      <c r="K20" s="30"/>
      <c r="L20" s="114">
        <f t="shared" si="1"/>
        <v>666.96634156807841</v>
      </c>
      <c r="M20" s="30">
        <f t="shared" si="1"/>
        <v>2299.793343015876</v>
      </c>
      <c r="N20" s="30">
        <f t="shared" si="1"/>
        <v>7788.5715221428154</v>
      </c>
      <c r="O20" s="30">
        <f t="shared" si="1"/>
        <v>13490.454347362102</v>
      </c>
      <c r="P20" s="40">
        <f t="shared" si="1"/>
        <v>3239.597467342152</v>
      </c>
    </row>
    <row r="21" spans="1:16">
      <c r="A21" s="94" t="s">
        <v>51</v>
      </c>
      <c r="B21" s="114">
        <f t="shared" ref="B21:P22" si="2">(B10*(1+$A$16)*(1+$A$18))</f>
        <v>372.05833743020816</v>
      </c>
      <c r="C21" s="30">
        <f t="shared" si="2"/>
        <v>546.20582830955652</v>
      </c>
      <c r="D21" s="30">
        <f t="shared" si="2"/>
        <v>675.15473616578413</v>
      </c>
      <c r="E21" s="30">
        <f t="shared" si="2"/>
        <v>1638.7842119225086</v>
      </c>
      <c r="F21" s="40">
        <f t="shared" si="2"/>
        <v>560.26704001112205</v>
      </c>
      <c r="G21" s="30"/>
      <c r="H21" s="30"/>
      <c r="I21" s="30"/>
      <c r="J21" s="30"/>
      <c r="K21" s="30"/>
      <c r="L21" s="114">
        <f t="shared" si="2"/>
        <v>372.05833743020816</v>
      </c>
      <c r="M21" s="30">
        <f t="shared" si="2"/>
        <v>546.20582830955652</v>
      </c>
      <c r="N21" s="30">
        <f t="shared" si="2"/>
        <v>675.15473616578413</v>
      </c>
      <c r="O21" s="30">
        <f t="shared" si="2"/>
        <v>1638.7842119225086</v>
      </c>
      <c r="P21" s="40">
        <f t="shared" si="2"/>
        <v>560.26704001112205</v>
      </c>
    </row>
    <row r="22" spans="1:16">
      <c r="A22" s="94" t="s">
        <v>52</v>
      </c>
      <c r="B22" s="114">
        <f t="shared" si="2"/>
        <v>294.00578973093735</v>
      </c>
      <c r="C22" s="30">
        <f t="shared" si="2"/>
        <v>307.77322143261404</v>
      </c>
      <c r="D22" s="30">
        <f t="shared" si="2"/>
        <v>300.45433261165044</v>
      </c>
      <c r="E22" s="30">
        <f t="shared" si="2"/>
        <v>512.18792531902398</v>
      </c>
      <c r="F22" s="40">
        <f t="shared" si="2"/>
        <v>309.18659355057486</v>
      </c>
      <c r="G22" s="30"/>
      <c r="H22" s="30"/>
      <c r="I22" s="30"/>
      <c r="J22" s="30"/>
      <c r="K22" s="30"/>
      <c r="L22" s="114">
        <f t="shared" si="2"/>
        <v>294.00578973093735</v>
      </c>
      <c r="M22" s="30">
        <f t="shared" si="2"/>
        <v>307.77322143261404</v>
      </c>
      <c r="N22" s="30">
        <f t="shared" si="2"/>
        <v>300.45433261165044</v>
      </c>
      <c r="O22" s="30">
        <f t="shared" si="2"/>
        <v>512.18792531902398</v>
      </c>
      <c r="P22" s="40">
        <f t="shared" si="2"/>
        <v>309.18659355057486</v>
      </c>
    </row>
    <row r="23" spans="1:16">
      <c r="A23" s="47"/>
      <c r="B23" s="114"/>
      <c r="C23" s="30"/>
      <c r="D23" s="30"/>
      <c r="E23" s="30"/>
      <c r="F23" s="40"/>
      <c r="G23" s="30"/>
      <c r="H23" s="30"/>
      <c r="I23" s="30"/>
      <c r="J23" s="30"/>
      <c r="K23" s="30"/>
      <c r="L23" s="114"/>
      <c r="M23" s="30"/>
      <c r="N23" s="30"/>
      <c r="O23" s="30"/>
      <c r="P23" s="40"/>
    </row>
    <row r="24" spans="1:16">
      <c r="A24" s="36" t="s">
        <v>35</v>
      </c>
      <c r="B24" s="114">
        <f>SUM(B20:B22)</f>
        <v>1333.0304687292239</v>
      </c>
      <c r="C24" s="30">
        <f>SUM(C20:C22)</f>
        <v>3153.7723927580464</v>
      </c>
      <c r="D24" s="30">
        <f t="shared" ref="D24:P24" si="3">SUM(D20:D22)</f>
        <v>8764.1805909202503</v>
      </c>
      <c r="E24" s="30">
        <f t="shared" si="3"/>
        <v>15641.426484603633</v>
      </c>
      <c r="F24" s="40">
        <f t="shared" si="3"/>
        <v>4109.0511009038491</v>
      </c>
      <c r="G24" s="30"/>
      <c r="H24" s="30"/>
      <c r="I24" s="30"/>
      <c r="J24" s="30"/>
      <c r="K24" s="30"/>
      <c r="L24" s="114">
        <f t="shared" si="3"/>
        <v>1333.0304687292239</v>
      </c>
      <c r="M24" s="30">
        <f t="shared" si="3"/>
        <v>3153.7723927580464</v>
      </c>
      <c r="N24" s="30">
        <f t="shared" si="3"/>
        <v>8764.1805909202503</v>
      </c>
      <c r="O24" s="30">
        <f t="shared" si="3"/>
        <v>15641.426484603633</v>
      </c>
      <c r="P24" s="40">
        <f t="shared" si="3"/>
        <v>4109.0511009038491</v>
      </c>
    </row>
    <row r="25" spans="1:16">
      <c r="A25" s="36"/>
      <c r="B25" s="114"/>
      <c r="C25" s="30"/>
      <c r="D25" s="30"/>
      <c r="E25" s="30"/>
      <c r="F25" s="40"/>
      <c r="G25" s="30"/>
      <c r="H25" s="30"/>
      <c r="I25" s="30"/>
      <c r="J25" s="30"/>
      <c r="K25" s="30"/>
      <c r="L25" s="114"/>
      <c r="M25" s="30"/>
      <c r="N25" s="30"/>
      <c r="O25" s="30"/>
      <c r="P25" s="40"/>
    </row>
    <row r="26" spans="1:16">
      <c r="A26" s="94" t="str">
        <f>'Resid TSM Sum by Rate Schedule'!A25</f>
        <v>Annualized Transformer Cost at 8.05%</v>
      </c>
      <c r="B26" s="119">
        <f>B20*Inputs!$C$5</f>
        <v>53.676559124280239</v>
      </c>
      <c r="C26" s="73">
        <f>C20*Inputs!$C$5</f>
        <v>185.08429234943264</v>
      </c>
      <c r="D26" s="73">
        <f>D20*Inputs!$C$5</f>
        <v>626.8138191487908</v>
      </c>
      <c r="E26" s="73">
        <f>E20*Inputs!$C$5</f>
        <v>1085.6937228453423</v>
      </c>
      <c r="F26" s="75">
        <f>F20*Inputs!$C$5</f>
        <v>260.71847131870635</v>
      </c>
      <c r="G26" s="73"/>
      <c r="H26" s="73"/>
      <c r="I26" s="73"/>
      <c r="J26" s="73"/>
      <c r="K26" s="73"/>
      <c r="L26" s="119">
        <f>L20*Inputs!$C$5</f>
        <v>53.676559124280239</v>
      </c>
      <c r="M26" s="73">
        <f>M20*Inputs!$C$5</f>
        <v>185.08429234943264</v>
      </c>
      <c r="N26" s="73">
        <f>N20*Inputs!$C$5</f>
        <v>626.8138191487908</v>
      </c>
      <c r="O26" s="73">
        <f>O20*Inputs!$C$5</f>
        <v>1085.6937228453423</v>
      </c>
      <c r="P26" s="75">
        <f>P20*Inputs!$C$5</f>
        <v>260.71847131870635</v>
      </c>
    </row>
    <row r="27" spans="1:16">
      <c r="A27" s="94" t="str">
        <f>'Resid TSM Sum by Rate Schedule'!A26</f>
        <v>Annualized Services Cost at 7.08%</v>
      </c>
      <c r="B27" s="119">
        <f>B21*Inputs!$C$6</f>
        <v>26.332451133445122</v>
      </c>
      <c r="C27" s="73">
        <f>C21*Inputs!$C$6</f>
        <v>38.657750239133698</v>
      </c>
      <c r="D27" s="73">
        <f>D21*Inputs!$C$6</f>
        <v>47.784116922079427</v>
      </c>
      <c r="E27" s="73">
        <f>E21*Inputs!$C$6</f>
        <v>115.98505083038394</v>
      </c>
      <c r="F27" s="75">
        <f>F21*Inputs!$C$6</f>
        <v>39.652933340165418</v>
      </c>
      <c r="G27" s="73"/>
      <c r="H27" s="73"/>
      <c r="I27" s="73"/>
      <c r="J27" s="73"/>
      <c r="K27" s="73"/>
      <c r="L27" s="119">
        <f>L21*Inputs!$C$6</f>
        <v>26.332451133445122</v>
      </c>
      <c r="M27" s="73">
        <f>M21*Inputs!$C$6</f>
        <v>38.657750239133698</v>
      </c>
      <c r="N27" s="73">
        <f>N21*Inputs!$C$6</f>
        <v>47.784116922079427</v>
      </c>
      <c r="O27" s="73">
        <f>O21*Inputs!$C$6</f>
        <v>115.98505083038394</v>
      </c>
      <c r="P27" s="75">
        <f>P21*Inputs!$C$6</f>
        <v>39.652933340165418</v>
      </c>
    </row>
    <row r="28" spans="1:16" ht="15">
      <c r="A28" s="94" t="str">
        <f>'Resid TSM Sum by Rate Schedule'!A27</f>
        <v>Annualized Meter Cost at 10.78%</v>
      </c>
      <c r="B28" s="465">
        <f>B22*Inputs!$C$7</f>
        <v>31.68396004661388</v>
      </c>
      <c r="C28" s="464">
        <f>C22*Inputs!$C$7</f>
        <v>33.167627277723881</v>
      </c>
      <c r="D28" s="464">
        <f>D22*Inputs!$C$7</f>
        <v>32.378896616326919</v>
      </c>
      <c r="E28" s="464">
        <f>E22*Inputs!$C$7</f>
        <v>55.196674109776453</v>
      </c>
      <c r="F28" s="463">
        <f>F22*Inputs!$C$7</f>
        <v>33.31994137248185</v>
      </c>
      <c r="G28" s="464"/>
      <c r="H28" s="464"/>
      <c r="I28" s="464"/>
      <c r="J28" s="464"/>
      <c r="K28" s="464"/>
      <c r="L28" s="465">
        <f>L22*Inputs!$C$7</f>
        <v>31.68396004661388</v>
      </c>
      <c r="M28" s="464">
        <f>M22*Inputs!$C$7</f>
        <v>33.167627277723881</v>
      </c>
      <c r="N28" s="464">
        <f>N22*Inputs!$C$7</f>
        <v>32.378896616326919</v>
      </c>
      <c r="O28" s="464">
        <f>O22*Inputs!$C$7</f>
        <v>55.196674109776453</v>
      </c>
      <c r="P28" s="463">
        <f>P22*Inputs!$C$7</f>
        <v>33.31994137248185</v>
      </c>
    </row>
    <row r="29" spans="1:16">
      <c r="A29" s="86" t="s">
        <v>312</v>
      </c>
      <c r="B29" s="119">
        <f t="shared" ref="B29:P29" si="4">SUM(B26:B28)</f>
        <v>111.69297030433924</v>
      </c>
      <c r="C29" s="73">
        <f t="shared" si="4"/>
        <v>256.90966986629019</v>
      </c>
      <c r="D29" s="73">
        <f t="shared" si="4"/>
        <v>706.97683268719709</v>
      </c>
      <c r="E29" s="73">
        <f t="shared" si="4"/>
        <v>1256.8754477855027</v>
      </c>
      <c r="F29" s="75">
        <f t="shared" si="4"/>
        <v>333.69134603135365</v>
      </c>
      <c r="G29" s="73"/>
      <c r="H29" s="73"/>
      <c r="I29" s="73"/>
      <c r="J29" s="73"/>
      <c r="K29" s="73"/>
      <c r="L29" s="119">
        <f t="shared" si="4"/>
        <v>111.69297030433924</v>
      </c>
      <c r="M29" s="73">
        <f t="shared" si="4"/>
        <v>256.90966986629019</v>
      </c>
      <c r="N29" s="73">
        <f t="shared" si="4"/>
        <v>706.97683268719709</v>
      </c>
      <c r="O29" s="73">
        <f t="shared" si="4"/>
        <v>1256.8754477855027</v>
      </c>
      <c r="P29" s="75">
        <f t="shared" si="4"/>
        <v>333.69134603135365</v>
      </c>
    </row>
    <row r="30" spans="1:16">
      <c r="A30" s="47"/>
      <c r="B30" s="47"/>
      <c r="C30" s="69"/>
      <c r="D30" s="69"/>
      <c r="E30" s="69"/>
      <c r="F30" s="287"/>
      <c r="G30" s="69"/>
      <c r="H30" s="69"/>
      <c r="I30" s="69"/>
      <c r="J30" s="69"/>
      <c r="K30" s="69"/>
      <c r="L30" s="47"/>
      <c r="M30" s="69"/>
      <c r="N30" s="69"/>
      <c r="O30" s="69"/>
      <c r="P30" s="287"/>
    </row>
    <row r="31" spans="1:16">
      <c r="A31" s="36" t="s">
        <v>50</v>
      </c>
      <c r="B31" s="151">
        <f>'Sch TOU-A TSM Summary'!B$31*Inputs!$C$13</f>
        <v>128.40740668380914</v>
      </c>
      <c r="C31" s="70">
        <f>'Sch TOU-A TSM Summary'!C$31*Inputs!$C$13</f>
        <v>128.40740668380914</v>
      </c>
      <c r="D31" s="70">
        <f>'Sch TOU-A TSM Summary'!D$31*Inputs!$C$13</f>
        <v>128.40740668380914</v>
      </c>
      <c r="E31" s="70">
        <f>'Sch TOU-A TSM Summary'!E$31*Inputs!$C$13</f>
        <v>128.40740668380914</v>
      </c>
      <c r="F31" s="285">
        <f>'Sch TOU-A TSM Summary'!F$31*Inputs!$C$13</f>
        <v>128.40740668380914</v>
      </c>
      <c r="G31" s="70"/>
      <c r="H31" s="70"/>
      <c r="I31" s="70"/>
      <c r="J31" s="70"/>
      <c r="K31" s="70"/>
      <c r="L31" s="151">
        <f>'Sch TOU-A TSM Summary'!L$31*Inputs!$C$13</f>
        <v>128.40740668380914</v>
      </c>
      <c r="M31" s="70">
        <f>'Sch TOU-A TSM Summary'!M$31*Inputs!$C$13</f>
        <v>128.40740668380914</v>
      </c>
      <c r="N31" s="70">
        <f>'Sch TOU-A TSM Summary'!N$31*Inputs!$C$13</f>
        <v>128.40740668380914</v>
      </c>
      <c r="O31" s="70">
        <f>'Sch TOU-A TSM Summary'!O$31*Inputs!$C$13</f>
        <v>128.40740668380914</v>
      </c>
      <c r="P31" s="285">
        <f>'Sch TOU-A TSM Summary'!P$31*Inputs!$C$13</f>
        <v>128.40740668380914</v>
      </c>
    </row>
    <row r="32" spans="1:16" ht="15">
      <c r="A32" s="36" t="s">
        <v>379</v>
      </c>
      <c r="B32" s="552">
        <f>-Inputs!$C$18</f>
        <v>-3.0284021924274875</v>
      </c>
      <c r="C32" s="551">
        <f>-Inputs!$C$18</f>
        <v>-3.0284021924274875</v>
      </c>
      <c r="D32" s="551">
        <f>-Inputs!$C$18</f>
        <v>-3.0284021924274875</v>
      </c>
      <c r="E32" s="551">
        <f>-Inputs!$C$18</f>
        <v>-3.0284021924274875</v>
      </c>
      <c r="F32" s="553">
        <f>-Inputs!$C$18</f>
        <v>-3.0284021924274875</v>
      </c>
      <c r="G32" s="551"/>
      <c r="H32" s="551"/>
      <c r="I32" s="551"/>
      <c r="J32" s="551"/>
      <c r="K32" s="551"/>
      <c r="L32" s="552">
        <f>-Inputs!$C$18</f>
        <v>-3.0284021924274875</v>
      </c>
      <c r="M32" s="551">
        <f>-Inputs!$C$18</f>
        <v>-3.0284021924274875</v>
      </c>
      <c r="N32" s="551">
        <f>-Inputs!$C$18</f>
        <v>-3.0284021924274875</v>
      </c>
      <c r="O32" s="551">
        <f>-Inputs!$C$18</f>
        <v>-3.0284021924274875</v>
      </c>
      <c r="P32" s="553">
        <f>-Inputs!$C$18</f>
        <v>-3.0284021924274875</v>
      </c>
    </row>
    <row r="33" spans="1:16">
      <c r="A33" s="36" t="s">
        <v>377</v>
      </c>
      <c r="B33" s="151">
        <f>B31+B32</f>
        <v>125.37900449138165</v>
      </c>
      <c r="C33" s="70">
        <f t="shared" ref="C33:P33" si="5">C31+C32</f>
        <v>125.37900449138165</v>
      </c>
      <c r="D33" s="70">
        <f t="shared" si="5"/>
        <v>125.37900449138165</v>
      </c>
      <c r="E33" s="70">
        <f t="shared" si="5"/>
        <v>125.37900449138165</v>
      </c>
      <c r="F33" s="285">
        <f t="shared" si="5"/>
        <v>125.37900449138165</v>
      </c>
      <c r="G33" s="70"/>
      <c r="H33" s="70"/>
      <c r="I33" s="70"/>
      <c r="J33" s="70"/>
      <c r="K33" s="70"/>
      <c r="L33" s="151">
        <f t="shared" si="5"/>
        <v>125.37900449138165</v>
      </c>
      <c r="M33" s="70">
        <f t="shared" si="5"/>
        <v>125.37900449138165</v>
      </c>
      <c r="N33" s="70">
        <f t="shared" si="5"/>
        <v>125.37900449138165</v>
      </c>
      <c r="O33" s="70">
        <f t="shared" si="5"/>
        <v>125.37900449138165</v>
      </c>
      <c r="P33" s="285">
        <f t="shared" si="5"/>
        <v>125.37900449138165</v>
      </c>
    </row>
    <row r="34" spans="1:16">
      <c r="A34" s="11"/>
      <c r="B34" s="151"/>
      <c r="C34" s="70"/>
      <c r="D34" s="70"/>
      <c r="E34" s="70"/>
      <c r="F34" s="285"/>
      <c r="G34" s="70"/>
      <c r="H34" s="70"/>
      <c r="I34" s="70"/>
      <c r="J34" s="70"/>
      <c r="K34" s="70"/>
      <c r="L34" s="151"/>
      <c r="M34" s="70"/>
      <c r="N34" s="70"/>
      <c r="O34" s="70"/>
      <c r="P34" s="285"/>
    </row>
    <row r="35" spans="1:16">
      <c r="A35" s="36" t="s">
        <v>57</v>
      </c>
      <c r="B35" s="151">
        <f>'Sch TOU-A TSM Summary'!B33*Inputs!$C$14</f>
        <v>56.488244546548479</v>
      </c>
      <c r="C35" s="70">
        <f>'Sch TOU-A TSM Summary'!C33*Inputs!$C$14</f>
        <v>56.488244546548479</v>
      </c>
      <c r="D35" s="70">
        <f>'Sch TOU-A TSM Summary'!D33*Inputs!$C$14</f>
        <v>56.488244546548479</v>
      </c>
      <c r="E35" s="70">
        <f>'Sch TOU-A TSM Summary'!E33*Inputs!$C$14</f>
        <v>56.488244546548479</v>
      </c>
      <c r="F35" s="285">
        <f>'Sch TOU-A TSM Summary'!F33*Inputs!$C$14</f>
        <v>56.488244546548479</v>
      </c>
      <c r="G35" s="70"/>
      <c r="H35" s="70"/>
      <c r="I35" s="70"/>
      <c r="J35" s="70"/>
      <c r="K35" s="70"/>
      <c r="L35" s="151">
        <f>'Sch TOU-A TSM Summary'!L33*Inputs!$C$14</f>
        <v>56.488244546548479</v>
      </c>
      <c r="M35" s="70">
        <f>'Sch TOU-A TSM Summary'!M33*Inputs!$C$14</f>
        <v>56.488244546548479</v>
      </c>
      <c r="N35" s="70">
        <f>'Sch TOU-A TSM Summary'!N33*Inputs!$C$14</f>
        <v>56.488244546548479</v>
      </c>
      <c r="O35" s="70">
        <f>'Sch TOU-A TSM Summary'!O33*Inputs!$C$14</f>
        <v>56.488244546548479</v>
      </c>
      <c r="P35" s="285">
        <f>'Sch TOU-A TSM Summary'!P33*Inputs!$C$14</f>
        <v>56.488244546548479</v>
      </c>
    </row>
    <row r="36" spans="1:16">
      <c r="A36" s="11"/>
      <c r="B36" s="11"/>
      <c r="C36" s="12"/>
      <c r="D36" s="12"/>
      <c r="E36" s="12"/>
      <c r="F36" s="76"/>
      <c r="G36" s="12"/>
      <c r="H36" s="12"/>
      <c r="I36" s="12"/>
      <c r="J36" s="12"/>
      <c r="K36" s="12"/>
      <c r="L36" s="11"/>
      <c r="M36" s="12"/>
      <c r="N36" s="12"/>
      <c r="O36" s="12"/>
      <c r="P36" s="76"/>
    </row>
    <row r="37" spans="1:16" ht="13.5" thickBot="1">
      <c r="A37" s="150" t="s">
        <v>86</v>
      </c>
      <c r="B37" s="288">
        <f t="shared" ref="B37:P37" si="6">B29+B33+B35</f>
        <v>293.56021934226936</v>
      </c>
      <c r="C37" s="289">
        <f t="shared" si="6"/>
        <v>438.77691890422028</v>
      </c>
      <c r="D37" s="289">
        <f t="shared" si="6"/>
        <v>888.84408172512724</v>
      </c>
      <c r="E37" s="289">
        <f t="shared" si="6"/>
        <v>1438.7426968234329</v>
      </c>
      <c r="F37" s="290">
        <f t="shared" si="6"/>
        <v>515.5585950692838</v>
      </c>
      <c r="G37" s="289"/>
      <c r="H37" s="289"/>
      <c r="I37" s="289"/>
      <c r="J37" s="289"/>
      <c r="K37" s="289"/>
      <c r="L37" s="288">
        <f t="shared" si="6"/>
        <v>293.56021934226936</v>
      </c>
      <c r="M37" s="289">
        <f t="shared" si="6"/>
        <v>438.77691890422028</v>
      </c>
      <c r="N37" s="289">
        <f t="shared" si="6"/>
        <v>888.84408172512724</v>
      </c>
      <c r="O37" s="289">
        <f t="shared" si="6"/>
        <v>1438.7426968234329</v>
      </c>
      <c r="P37" s="290">
        <f t="shared" si="6"/>
        <v>515.5585950692838</v>
      </c>
    </row>
    <row r="38" spans="1:16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</row>
    <row r="41" spans="1:16">
      <c r="A41" t="s">
        <v>3</v>
      </c>
    </row>
    <row r="49" spans="1:1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</row>
    <row r="61" spans="1:11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</row>
  </sheetData>
  <mergeCells count="5">
    <mergeCell ref="A1:P1"/>
    <mergeCell ref="B2:P2"/>
    <mergeCell ref="B3:F3"/>
    <mergeCell ref="G3:K3"/>
    <mergeCell ref="L3:P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9" tint="-0.499984740745262"/>
    <pageSetUpPr fitToPage="1"/>
  </sheetPr>
  <dimension ref="A1:K66"/>
  <sheetViews>
    <sheetView zoomScaleNormal="100" workbookViewId="0">
      <pane xSplit="1" ySplit="8" topLeftCell="B9" activePane="bottomRight" state="frozen"/>
      <selection activeCell="D15" sqref="D15"/>
      <selection pane="topRight" activeCell="D15" sqref="D15"/>
      <selection pane="bottomLeft" activeCell="D15" sqref="D15"/>
      <selection pane="bottomRight" activeCell="F66" sqref="F9:F66"/>
    </sheetView>
  </sheetViews>
  <sheetFormatPr defaultColWidth="9.140625" defaultRowHeight="12.75"/>
  <cols>
    <col min="1" max="1" width="8.28515625" style="144" customWidth="1"/>
    <col min="2" max="2" width="63.7109375" style="46" customWidth="1"/>
    <col min="3" max="4" width="15.7109375" style="46" customWidth="1"/>
    <col min="5" max="5" width="10.28515625" style="161" bestFit="1" customWidth="1"/>
    <col min="6" max="6" width="12.28515625" style="46" customWidth="1"/>
    <col min="7" max="7" width="9.5703125" style="46" bestFit="1" customWidth="1"/>
    <col min="8" max="8" width="9.140625" style="46"/>
    <col min="9" max="9" width="13.42578125" style="46" bestFit="1" customWidth="1"/>
    <col min="10" max="16384" width="9.140625" style="46"/>
  </cols>
  <sheetData>
    <row r="1" spans="1:11">
      <c r="A1" s="731" t="str">
        <f>'Tab Descriptions'!A1:D1</f>
        <v>SAN DIEGO GAS &amp; ELECTRIC COMPANY (SDG&amp;E)</v>
      </c>
      <c r="B1" s="731"/>
      <c r="C1" s="731"/>
      <c r="D1" s="731"/>
    </row>
    <row r="2" spans="1:11">
      <c r="A2" s="731" t="str">
        <f>'Tab Descriptions'!A2:D2</f>
        <v>TEST YEAR (TY) 2019 GENERAL RATE CASE (GRC) PHASE 2, (A.) APPLICATION 19-03-XXX</v>
      </c>
      <c r="B2" s="731"/>
      <c r="C2" s="731"/>
      <c r="D2" s="731"/>
    </row>
    <row r="3" spans="1:11">
      <c r="A3" s="731" t="str">
        <f>'Tab Descriptions'!A3:D3</f>
        <v xml:space="preserve">MARGINAL DISTRIBUTION CUSTOMER COST WORKPAPERS FOR SCHOOL CLASSES - CHAPTER 5 (SAXE) </v>
      </c>
      <c r="B3" s="731"/>
      <c r="C3" s="731"/>
      <c r="D3" s="731"/>
    </row>
    <row r="4" spans="1:11">
      <c r="A4" s="397"/>
      <c r="B4" s="397"/>
      <c r="C4" s="397"/>
      <c r="D4" s="397"/>
    </row>
    <row r="5" spans="1:11">
      <c r="A5" s="731" t="s">
        <v>314</v>
      </c>
      <c r="B5" s="731"/>
      <c r="C5" s="731"/>
      <c r="D5" s="731"/>
    </row>
    <row r="6" spans="1:11">
      <c r="C6" s="48"/>
    </row>
    <row r="7" spans="1:11">
      <c r="A7" s="144" t="s">
        <v>83</v>
      </c>
      <c r="B7" s="46" t="s">
        <v>3</v>
      </c>
      <c r="C7" s="731" t="s">
        <v>81</v>
      </c>
      <c r="D7" s="731"/>
      <c r="F7" s="144"/>
      <c r="G7" s="344"/>
      <c r="H7" s="344"/>
      <c r="I7" s="144"/>
      <c r="J7" s="344"/>
    </row>
    <row r="8" spans="1:11" ht="15" thickBot="1">
      <c r="A8" s="144" t="s">
        <v>221</v>
      </c>
      <c r="C8" s="277" t="s">
        <v>313</v>
      </c>
      <c r="D8" s="379" t="s">
        <v>212</v>
      </c>
      <c r="F8" s="144"/>
      <c r="G8" s="344"/>
      <c r="H8" s="344"/>
      <c r="I8" s="588"/>
      <c r="J8" s="344"/>
    </row>
    <row r="9" spans="1:11" ht="13.5" thickBot="1">
      <c r="A9" s="144">
        <v>1</v>
      </c>
      <c r="B9" s="97" t="s">
        <v>219</v>
      </c>
      <c r="C9" s="469">
        <f>'Marg Cust Cost by Rate Schedule'!R3</f>
        <v>239.69597008561533</v>
      </c>
      <c r="D9" s="390">
        <f>C9/12</f>
        <v>19.974664173801276</v>
      </c>
      <c r="F9" s="470"/>
      <c r="G9" s="589"/>
      <c r="H9" s="590"/>
      <c r="I9" s="344"/>
      <c r="J9" s="589"/>
      <c r="K9" s="129"/>
    </row>
    <row r="10" spans="1:11" ht="13.5" thickBot="1">
      <c r="A10" s="144">
        <f t="shared" ref="A10:A48" si="0">A9+1</f>
        <v>2</v>
      </c>
      <c r="C10" s="470"/>
      <c r="D10" s="27"/>
      <c r="F10" s="470"/>
      <c r="G10" s="590"/>
      <c r="H10" s="590"/>
      <c r="I10" s="344"/>
      <c r="J10" s="344"/>
      <c r="K10" s="129"/>
    </row>
    <row r="11" spans="1:11">
      <c r="A11" s="144">
        <f t="shared" si="0"/>
        <v>3</v>
      </c>
      <c r="B11" s="96" t="s">
        <v>77</v>
      </c>
      <c r="C11" s="471"/>
      <c r="D11" s="391"/>
      <c r="F11" s="470"/>
      <c r="G11" s="590"/>
      <c r="H11" s="590"/>
      <c r="I11" s="344"/>
      <c r="J11" s="344"/>
      <c r="K11" s="129"/>
    </row>
    <row r="12" spans="1:11">
      <c r="A12" s="144">
        <f t="shared" si="0"/>
        <v>4</v>
      </c>
      <c r="B12" s="86" t="s">
        <v>142</v>
      </c>
      <c r="C12" s="389"/>
      <c r="D12" s="81"/>
      <c r="F12" s="470"/>
      <c r="G12" s="590"/>
      <c r="H12" s="590"/>
      <c r="I12" s="344"/>
      <c r="J12" s="344"/>
      <c r="K12" s="129"/>
    </row>
    <row r="13" spans="1:11">
      <c r="A13" s="144">
        <f t="shared" si="0"/>
        <v>5</v>
      </c>
      <c r="B13" s="162" t="s">
        <v>138</v>
      </c>
      <c r="C13" s="389">
        <f>'Marg Cust Cost by Rate Schedule'!R10</f>
        <v>293.56021934226936</v>
      </c>
      <c r="D13" s="392">
        <f>C13/12</f>
        <v>24.463351611855781</v>
      </c>
      <c r="F13" s="470"/>
      <c r="G13" s="589"/>
      <c r="H13" s="590"/>
      <c r="I13" s="591"/>
      <c r="J13" s="344"/>
      <c r="K13" s="129"/>
    </row>
    <row r="14" spans="1:11">
      <c r="A14" s="144">
        <f t="shared" si="0"/>
        <v>6</v>
      </c>
      <c r="B14" s="112" t="s">
        <v>139</v>
      </c>
      <c r="C14" s="389">
        <f>'Marg Cust Cost by Rate Schedule'!R11</f>
        <v>438.77691890422028</v>
      </c>
      <c r="D14" s="392">
        <f t="shared" ref="D14:D24" si="1">C14/12</f>
        <v>36.564743242018359</v>
      </c>
      <c r="F14" s="470"/>
      <c r="G14" s="589"/>
      <c r="H14" s="590"/>
      <c r="I14" s="591"/>
      <c r="J14" s="344"/>
      <c r="K14" s="129"/>
    </row>
    <row r="15" spans="1:11">
      <c r="A15" s="144">
        <f t="shared" si="0"/>
        <v>7</v>
      </c>
      <c r="B15" s="112" t="s">
        <v>140</v>
      </c>
      <c r="C15" s="389">
        <f>'Marg Cust Cost by Rate Schedule'!R12</f>
        <v>894.67419181952175</v>
      </c>
      <c r="D15" s="392">
        <f t="shared" si="1"/>
        <v>74.556182651626813</v>
      </c>
      <c r="F15" s="470"/>
      <c r="G15" s="589"/>
      <c r="H15" s="590"/>
      <c r="I15" s="591"/>
      <c r="J15" s="344"/>
      <c r="K15" s="129"/>
    </row>
    <row r="16" spans="1:11">
      <c r="A16" s="144">
        <f t="shared" si="0"/>
        <v>8</v>
      </c>
      <c r="B16" s="112" t="s">
        <v>180</v>
      </c>
      <c r="C16" s="389">
        <f>'Marg Cust Cost by Rate Schedule'!R13</f>
        <v>1438.7426968234329</v>
      </c>
      <c r="D16" s="392">
        <f t="shared" si="1"/>
        <v>119.89522473528608</v>
      </c>
      <c r="F16" s="470"/>
      <c r="G16" s="589"/>
      <c r="H16" s="590"/>
      <c r="I16" s="591"/>
      <c r="J16" s="344"/>
      <c r="K16" s="129"/>
    </row>
    <row r="17" spans="1:11">
      <c r="A17" s="144">
        <f t="shared" si="0"/>
        <v>9</v>
      </c>
      <c r="B17" s="112" t="s">
        <v>185</v>
      </c>
      <c r="C17" s="389">
        <f>'Marg Cust Cost by Rate Schedule'!R14</f>
        <v>517.79516971919793</v>
      </c>
      <c r="D17" s="392">
        <f t="shared" si="1"/>
        <v>43.14959747659983</v>
      </c>
      <c r="F17" s="470"/>
      <c r="G17" s="589"/>
      <c r="H17" s="590"/>
      <c r="I17" s="591"/>
      <c r="J17" s="344"/>
      <c r="K17" s="129"/>
    </row>
    <row r="18" spans="1:11">
      <c r="A18" s="144">
        <f>A17+1</f>
        <v>10</v>
      </c>
      <c r="B18" s="86" t="s">
        <v>143</v>
      </c>
      <c r="C18" s="389"/>
      <c r="D18" s="392"/>
      <c r="F18" s="470"/>
      <c r="G18" s="589"/>
      <c r="H18" s="590"/>
      <c r="I18" s="344"/>
      <c r="J18" s="344"/>
      <c r="K18" s="129"/>
    </row>
    <row r="19" spans="1:11">
      <c r="A19" s="144">
        <f t="shared" si="0"/>
        <v>11</v>
      </c>
      <c r="B19" s="162" t="s">
        <v>138</v>
      </c>
      <c r="C19" s="389"/>
      <c r="D19" s="392"/>
      <c r="F19" s="470"/>
      <c r="G19" s="589"/>
      <c r="H19" s="590"/>
      <c r="I19" s="591"/>
      <c r="J19" s="344"/>
      <c r="K19" s="129"/>
    </row>
    <row r="20" spans="1:11">
      <c r="A20" s="144">
        <f t="shared" si="0"/>
        <v>12</v>
      </c>
      <c r="B20" s="112" t="s">
        <v>139</v>
      </c>
      <c r="C20" s="389"/>
      <c r="D20" s="392"/>
      <c r="F20" s="470"/>
      <c r="G20" s="589"/>
      <c r="H20" s="590"/>
      <c r="I20" s="591"/>
      <c r="J20" s="344"/>
      <c r="K20" s="129"/>
    </row>
    <row r="21" spans="1:11">
      <c r="A21" s="144">
        <f t="shared" si="0"/>
        <v>13</v>
      </c>
      <c r="B21" s="112" t="s">
        <v>140</v>
      </c>
      <c r="C21" s="389"/>
      <c r="D21" s="392"/>
      <c r="F21" s="470"/>
      <c r="G21" s="589"/>
      <c r="H21" s="590"/>
      <c r="I21" s="591"/>
      <c r="J21" s="344"/>
      <c r="K21" s="129"/>
    </row>
    <row r="22" spans="1:11">
      <c r="A22" s="144">
        <f t="shared" si="0"/>
        <v>14</v>
      </c>
      <c r="B22" s="112" t="s">
        <v>180</v>
      </c>
      <c r="C22" s="389"/>
      <c r="D22" s="392"/>
      <c r="F22" s="470"/>
      <c r="G22" s="589"/>
      <c r="H22" s="590"/>
      <c r="I22" s="591"/>
      <c r="J22" s="344"/>
      <c r="K22" s="129"/>
    </row>
    <row r="23" spans="1:11">
      <c r="A23" s="144">
        <f t="shared" si="0"/>
        <v>15</v>
      </c>
      <c r="B23" s="112" t="s">
        <v>186</v>
      </c>
      <c r="C23" s="389"/>
      <c r="D23" s="392"/>
      <c r="F23" s="470"/>
      <c r="G23" s="589"/>
      <c r="H23" s="590"/>
      <c r="I23" s="344"/>
      <c r="J23" s="344"/>
      <c r="K23" s="129"/>
    </row>
    <row r="24" spans="1:11" ht="13.5" thickBot="1">
      <c r="A24" s="144">
        <f t="shared" si="0"/>
        <v>16</v>
      </c>
      <c r="B24" s="56" t="s">
        <v>82</v>
      </c>
      <c r="C24" s="472">
        <f>'Marg Cust Cost by Rate Schedule'!R27</f>
        <v>517.79516971919793</v>
      </c>
      <c r="D24" s="393">
        <f t="shared" si="1"/>
        <v>43.14959747659983</v>
      </c>
      <c r="F24" s="590"/>
      <c r="G24" s="592"/>
      <c r="H24" s="590"/>
      <c r="I24" s="344"/>
      <c r="J24" s="344"/>
      <c r="K24" s="129"/>
    </row>
    <row r="25" spans="1:11" ht="13.5" thickBot="1">
      <c r="A25" s="144">
        <f t="shared" si="0"/>
        <v>17</v>
      </c>
      <c r="B25" s="95"/>
      <c r="C25" s="470"/>
      <c r="D25" s="27"/>
      <c r="F25" s="527"/>
      <c r="G25" s="592"/>
      <c r="H25" s="590"/>
      <c r="I25" s="344"/>
      <c r="J25" s="344"/>
      <c r="K25" s="129"/>
    </row>
    <row r="26" spans="1:11">
      <c r="A26" s="144">
        <f t="shared" si="0"/>
        <v>18</v>
      </c>
      <c r="B26" s="96" t="s">
        <v>179</v>
      </c>
      <c r="C26" s="471"/>
      <c r="D26" s="391"/>
      <c r="F26" s="527"/>
      <c r="G26" s="592"/>
      <c r="H26" s="590"/>
      <c r="I26" s="344"/>
      <c r="J26" s="344"/>
      <c r="K26" s="129"/>
    </row>
    <row r="27" spans="1:11">
      <c r="A27" s="144">
        <f t="shared" si="0"/>
        <v>19</v>
      </c>
      <c r="B27" s="10" t="s">
        <v>78</v>
      </c>
      <c r="C27" s="389"/>
      <c r="D27" s="81"/>
      <c r="F27" s="527"/>
      <c r="G27" s="592"/>
      <c r="H27" s="590"/>
      <c r="I27" s="344"/>
      <c r="J27" s="344"/>
      <c r="K27" s="129"/>
    </row>
    <row r="28" spans="1:11">
      <c r="A28" s="144">
        <f t="shared" si="0"/>
        <v>20</v>
      </c>
      <c r="B28" s="10" t="s">
        <v>187</v>
      </c>
      <c r="C28" s="389">
        <f>'Marg Cust Cost by Rate Schedule'!R34</f>
        <v>2411.2994802544013</v>
      </c>
      <c r="D28" s="392">
        <f t="shared" ref="D28:D42" si="2">C28/12</f>
        <v>200.94162335453345</v>
      </c>
      <c r="F28" s="470"/>
      <c r="G28" s="589"/>
      <c r="H28" s="590"/>
      <c r="I28" s="591"/>
      <c r="J28" s="344"/>
      <c r="K28" s="129"/>
    </row>
    <row r="29" spans="1:11">
      <c r="A29" s="144">
        <f t="shared" si="0"/>
        <v>21</v>
      </c>
      <c r="B29" s="10" t="s">
        <v>188</v>
      </c>
      <c r="C29" s="389">
        <f>'Marg Cust Cost by Rate Schedule'!R35</f>
        <v>4093.8090992947523</v>
      </c>
      <c r="D29" s="392">
        <f t="shared" si="2"/>
        <v>341.15075827456269</v>
      </c>
      <c r="F29" s="470"/>
      <c r="G29" s="589"/>
      <c r="H29" s="590"/>
      <c r="I29" s="591"/>
      <c r="J29" s="344"/>
      <c r="K29" s="129"/>
    </row>
    <row r="30" spans="1:11">
      <c r="A30" s="144">
        <f t="shared" si="0"/>
        <v>22</v>
      </c>
      <c r="B30" s="10" t="s">
        <v>189</v>
      </c>
      <c r="C30" s="389"/>
      <c r="D30" s="392"/>
      <c r="F30" s="470"/>
      <c r="G30" s="589"/>
      <c r="H30" s="590"/>
      <c r="I30" s="344"/>
      <c r="J30" s="344"/>
      <c r="K30" s="129"/>
    </row>
    <row r="31" spans="1:11">
      <c r="A31" s="144">
        <f t="shared" si="0"/>
        <v>23</v>
      </c>
      <c r="B31" s="112" t="s">
        <v>185</v>
      </c>
      <c r="C31" s="389">
        <f>'Marg Cust Cost by Rate Schedule'!R37</f>
        <v>2459.4240678177107</v>
      </c>
      <c r="D31" s="392">
        <f t="shared" si="2"/>
        <v>204.9520056514759</v>
      </c>
      <c r="F31" s="470"/>
      <c r="G31" s="589"/>
      <c r="H31" s="590"/>
      <c r="I31" s="344"/>
      <c r="J31" s="344"/>
      <c r="K31" s="129"/>
    </row>
    <row r="32" spans="1:11">
      <c r="A32" s="144">
        <f t="shared" si="0"/>
        <v>24</v>
      </c>
      <c r="B32" s="10" t="s">
        <v>79</v>
      </c>
      <c r="C32" s="389"/>
      <c r="D32" s="392"/>
      <c r="F32" s="470"/>
      <c r="G32" s="589"/>
      <c r="H32" s="590"/>
      <c r="I32" s="344"/>
      <c r="J32" s="344"/>
      <c r="K32" s="129"/>
    </row>
    <row r="33" spans="1:11">
      <c r="A33" s="144">
        <f t="shared" si="0"/>
        <v>25</v>
      </c>
      <c r="B33" s="10" t="s">
        <v>187</v>
      </c>
      <c r="C33" s="389">
        <f>'Marg Cust Cost by Rate Schedule'!R39</f>
        <v>989.4793582171535</v>
      </c>
      <c r="D33" s="392">
        <f t="shared" si="2"/>
        <v>82.456613184762787</v>
      </c>
      <c r="F33" s="470"/>
      <c r="G33" s="589"/>
      <c r="H33" s="590"/>
      <c r="I33" s="591"/>
      <c r="J33" s="344"/>
      <c r="K33" s="129"/>
    </row>
    <row r="34" spans="1:11">
      <c r="A34" s="144">
        <f t="shared" si="0"/>
        <v>26</v>
      </c>
      <c r="B34" s="10" t="s">
        <v>188</v>
      </c>
      <c r="C34" s="389">
        <f>'Marg Cust Cost by Rate Schedule'!R40</f>
        <v>990.42244149815963</v>
      </c>
      <c r="D34" s="392">
        <f t="shared" si="2"/>
        <v>82.535203458179964</v>
      </c>
      <c r="F34" s="470"/>
      <c r="G34" s="589"/>
      <c r="H34" s="590"/>
      <c r="I34" s="591"/>
      <c r="J34" s="344"/>
      <c r="K34" s="129"/>
    </row>
    <row r="35" spans="1:11">
      <c r="A35" s="144">
        <f t="shared" si="0"/>
        <v>27</v>
      </c>
      <c r="B35" s="10" t="s">
        <v>189</v>
      </c>
      <c r="C35" s="389"/>
      <c r="D35" s="392"/>
      <c r="F35" s="470"/>
      <c r="G35" s="589"/>
      <c r="H35" s="590"/>
      <c r="I35" s="344"/>
      <c r="J35" s="344"/>
      <c r="K35" s="129"/>
    </row>
    <row r="36" spans="1:11">
      <c r="A36" s="144">
        <f t="shared" si="0"/>
        <v>28</v>
      </c>
      <c r="B36" s="112" t="s">
        <v>186</v>
      </c>
      <c r="C36" s="389">
        <f>'Marg Cust Cost by Rate Schedule'!R42</f>
        <v>989.75109407778257</v>
      </c>
      <c r="D36" s="392">
        <f t="shared" si="2"/>
        <v>82.479257839815219</v>
      </c>
      <c r="F36" s="470"/>
      <c r="G36" s="589"/>
      <c r="H36" s="590"/>
      <c r="I36" s="344"/>
      <c r="J36" s="344"/>
      <c r="K36" s="129"/>
    </row>
    <row r="37" spans="1:11">
      <c r="A37" s="144">
        <f>A35+1</f>
        <v>28</v>
      </c>
      <c r="B37" s="10" t="s">
        <v>174</v>
      </c>
      <c r="C37" s="473"/>
      <c r="D37" s="392"/>
      <c r="F37" s="470"/>
      <c r="G37" s="589"/>
      <c r="H37" s="590"/>
      <c r="I37" s="344"/>
      <c r="J37" s="344"/>
      <c r="K37" s="129"/>
    </row>
    <row r="38" spans="1:11">
      <c r="A38" s="144">
        <f t="shared" ref="A38:A44" si="3">A36+1</f>
        <v>29</v>
      </c>
      <c r="B38" s="10" t="s">
        <v>187</v>
      </c>
      <c r="C38" s="474"/>
      <c r="D38" s="392"/>
      <c r="F38" s="470"/>
      <c r="G38" s="589"/>
      <c r="H38" s="590"/>
      <c r="I38" s="591"/>
      <c r="J38" s="344"/>
      <c r="K38" s="129"/>
    </row>
    <row r="39" spans="1:11">
      <c r="A39" s="144">
        <f t="shared" si="3"/>
        <v>29</v>
      </c>
      <c r="B39" s="10" t="s">
        <v>188</v>
      </c>
      <c r="C39" s="474"/>
      <c r="D39" s="392"/>
      <c r="F39" s="470"/>
      <c r="G39" s="589"/>
      <c r="H39" s="590"/>
      <c r="I39" s="591"/>
      <c r="J39" s="591"/>
      <c r="K39" s="129"/>
    </row>
    <row r="40" spans="1:11">
      <c r="A40" s="144">
        <f t="shared" si="3"/>
        <v>30</v>
      </c>
      <c r="B40" s="10" t="s">
        <v>189</v>
      </c>
      <c r="C40" s="474"/>
      <c r="D40" s="392"/>
      <c r="F40" s="470"/>
      <c r="G40" s="589"/>
      <c r="H40" s="590"/>
      <c r="I40" s="344"/>
      <c r="J40" s="344"/>
      <c r="K40" s="129"/>
    </row>
    <row r="41" spans="1:11">
      <c r="A41" s="144">
        <f t="shared" si="3"/>
        <v>30</v>
      </c>
      <c r="B41" s="112" t="s">
        <v>190</v>
      </c>
      <c r="C41" s="474"/>
      <c r="D41" s="392"/>
      <c r="F41" s="470"/>
      <c r="G41" s="589"/>
      <c r="H41" s="590"/>
      <c r="I41" s="344"/>
      <c r="J41" s="344"/>
      <c r="K41" s="129"/>
    </row>
    <row r="42" spans="1:11" ht="13.5" thickBot="1">
      <c r="A42" s="144">
        <f t="shared" si="3"/>
        <v>31</v>
      </c>
      <c r="B42" s="56" t="s">
        <v>206</v>
      </c>
      <c r="C42" s="472">
        <f>'Marg Cust Cost by Rate Schedule'!R54</f>
        <v>2369.8468927653803</v>
      </c>
      <c r="D42" s="393">
        <f t="shared" si="2"/>
        <v>197.48724106378168</v>
      </c>
      <c r="F42" s="470"/>
      <c r="G42" s="589"/>
      <c r="H42" s="590"/>
      <c r="I42" s="344"/>
      <c r="J42" s="344"/>
      <c r="K42" s="129"/>
    </row>
    <row r="43" spans="1:11" ht="13.5" thickBot="1">
      <c r="A43" s="144">
        <f t="shared" si="3"/>
        <v>31</v>
      </c>
      <c r="C43" s="470"/>
      <c r="D43" s="27"/>
      <c r="F43" s="527"/>
      <c r="G43" s="592"/>
      <c r="H43" s="590"/>
      <c r="I43" s="344"/>
      <c r="J43" s="344"/>
      <c r="K43" s="129"/>
    </row>
    <row r="44" spans="1:11">
      <c r="A44" s="144">
        <f t="shared" si="3"/>
        <v>32</v>
      </c>
      <c r="B44" s="96" t="s">
        <v>80</v>
      </c>
      <c r="C44" s="471"/>
      <c r="D44" s="391"/>
      <c r="F44" s="527"/>
      <c r="G44" s="592"/>
      <c r="H44" s="590"/>
      <c r="I44" s="344"/>
      <c r="J44" s="344"/>
      <c r="K44" s="129"/>
    </row>
    <row r="45" spans="1:11">
      <c r="A45" s="144">
        <f t="shared" si="0"/>
        <v>33</v>
      </c>
      <c r="B45" s="86" t="s">
        <v>142</v>
      </c>
      <c r="C45" s="389"/>
      <c r="D45" s="81"/>
      <c r="F45" s="527"/>
      <c r="G45" s="592"/>
      <c r="H45" s="590"/>
      <c r="I45" s="344"/>
      <c r="J45" s="344"/>
      <c r="K45" s="129"/>
    </row>
    <row r="46" spans="1:11">
      <c r="A46" s="144">
        <f t="shared" si="0"/>
        <v>34</v>
      </c>
      <c r="B46" s="162" t="s">
        <v>145</v>
      </c>
      <c r="C46" s="475">
        <f>'Marg Cust Cost by Rate Schedule'!R61</f>
        <v>679.40993454665374</v>
      </c>
      <c r="D46" s="392">
        <f t="shared" ref="D46:D55" si="4">C46/12</f>
        <v>56.617494545554479</v>
      </c>
      <c r="F46" s="470"/>
      <c r="G46" s="589"/>
      <c r="H46" s="590"/>
      <c r="I46" s="591"/>
      <c r="J46" s="344"/>
      <c r="K46" s="129"/>
    </row>
    <row r="47" spans="1:11">
      <c r="A47" s="144">
        <f t="shared" si="0"/>
        <v>35</v>
      </c>
      <c r="B47" s="112" t="s">
        <v>144</v>
      </c>
      <c r="C47" s="475">
        <f>'Marg Cust Cost by Rate Schedule'!R62</f>
        <v>2147.187803443554</v>
      </c>
      <c r="D47" s="392">
        <f t="shared" si="4"/>
        <v>178.93231695362951</v>
      </c>
      <c r="F47" s="470"/>
      <c r="G47" s="589"/>
      <c r="H47" s="590"/>
      <c r="I47" s="591"/>
      <c r="J47" s="344"/>
      <c r="K47" s="129"/>
    </row>
    <row r="48" spans="1:11">
      <c r="A48" s="144">
        <f t="shared" si="0"/>
        <v>36</v>
      </c>
      <c r="B48" s="112" t="s">
        <v>185</v>
      </c>
      <c r="C48" s="475">
        <f>'Marg Cust Cost by Rate Schedule'!R63</f>
        <v>1168.6692241789538</v>
      </c>
      <c r="D48" s="392">
        <f t="shared" si="4"/>
        <v>97.389102014912808</v>
      </c>
      <c r="F48" s="470"/>
      <c r="G48" s="589"/>
      <c r="H48" s="590"/>
      <c r="I48" s="344"/>
      <c r="J48" s="344"/>
      <c r="K48" s="129"/>
    </row>
    <row r="49" spans="1:11">
      <c r="A49" s="144">
        <f>A48+1</f>
        <v>37</v>
      </c>
      <c r="B49" s="86" t="s">
        <v>143</v>
      </c>
      <c r="C49" s="475"/>
      <c r="D49" s="392"/>
      <c r="F49" s="470"/>
      <c r="G49" s="589"/>
      <c r="H49" s="590"/>
      <c r="I49" s="344"/>
      <c r="J49" s="344"/>
      <c r="K49" s="129"/>
    </row>
    <row r="50" spans="1:11">
      <c r="A50" s="144">
        <f t="shared" ref="A50:A66" si="5">A49+1</f>
        <v>38</v>
      </c>
      <c r="B50" s="162" t="s">
        <v>145</v>
      </c>
      <c r="C50" s="475"/>
      <c r="D50" s="392"/>
      <c r="F50" s="470"/>
      <c r="G50" s="589"/>
      <c r="H50" s="590"/>
      <c r="I50" s="591"/>
      <c r="J50" s="344"/>
      <c r="K50" s="129"/>
    </row>
    <row r="51" spans="1:11">
      <c r="A51" s="144">
        <f t="shared" si="5"/>
        <v>39</v>
      </c>
      <c r="B51" s="112" t="s">
        <v>144</v>
      </c>
      <c r="C51" s="475"/>
      <c r="D51" s="392"/>
      <c r="F51" s="470"/>
      <c r="G51" s="589"/>
      <c r="H51" s="590"/>
      <c r="I51" s="591"/>
      <c r="J51" s="344"/>
      <c r="K51" s="129"/>
    </row>
    <row r="52" spans="1:11">
      <c r="A52" s="144">
        <f t="shared" si="5"/>
        <v>40</v>
      </c>
      <c r="B52" s="112" t="s">
        <v>186</v>
      </c>
      <c r="C52" s="475"/>
      <c r="D52" s="392"/>
      <c r="F52" s="470"/>
      <c r="G52" s="589"/>
      <c r="H52" s="590"/>
      <c r="I52" s="344"/>
      <c r="J52" s="344"/>
      <c r="K52" s="129"/>
    </row>
    <row r="53" spans="1:11" ht="13.5" thickBot="1">
      <c r="A53" s="144">
        <f t="shared" si="5"/>
        <v>41</v>
      </c>
      <c r="B53" s="56" t="s">
        <v>175</v>
      </c>
      <c r="C53" s="472">
        <f>'Marg Cust Cost by Rate Schedule'!R72</f>
        <v>1168.6692241789538</v>
      </c>
      <c r="D53" s="393">
        <f t="shared" si="4"/>
        <v>97.389102014912808</v>
      </c>
      <c r="F53" s="470"/>
      <c r="G53" s="589"/>
      <c r="H53" s="590"/>
      <c r="I53" s="344"/>
      <c r="J53" s="344"/>
      <c r="K53" s="129"/>
    </row>
    <row r="54" spans="1:11" ht="13.5" thickBot="1">
      <c r="A54" s="144">
        <f t="shared" si="5"/>
        <v>42</v>
      </c>
      <c r="C54" s="470"/>
      <c r="D54" s="27"/>
      <c r="F54" s="527"/>
      <c r="G54" s="592"/>
      <c r="H54" s="590"/>
      <c r="I54" s="344"/>
      <c r="J54" s="344"/>
      <c r="K54" s="129"/>
    </row>
    <row r="55" spans="1:11" ht="13.5" thickBot="1">
      <c r="A55" s="144">
        <f t="shared" si="5"/>
        <v>43</v>
      </c>
      <c r="B55" s="97" t="s">
        <v>395</v>
      </c>
      <c r="C55" s="469">
        <f>'Marg Cust Cost by Rate Schedule'!R78</f>
        <v>12.180829080183774</v>
      </c>
      <c r="D55" s="390">
        <f t="shared" si="4"/>
        <v>1.0150690900153145</v>
      </c>
      <c r="F55" s="470"/>
      <c r="G55" s="589"/>
      <c r="H55" s="590"/>
      <c r="I55" s="344"/>
      <c r="J55" s="344"/>
      <c r="K55" s="129"/>
    </row>
    <row r="56" spans="1:11" ht="13.5" thickBot="1">
      <c r="A56" s="144">
        <f t="shared" si="5"/>
        <v>44</v>
      </c>
      <c r="B56" s="27"/>
      <c r="C56" s="27"/>
      <c r="D56" s="27"/>
      <c r="H56" s="590"/>
    </row>
    <row r="57" spans="1:11">
      <c r="A57" s="144">
        <f t="shared" si="5"/>
        <v>45</v>
      </c>
      <c r="B57" s="713" t="s">
        <v>440</v>
      </c>
      <c r="C57" s="714"/>
      <c r="D57" s="715"/>
      <c r="H57" s="590"/>
    </row>
    <row r="58" spans="1:11">
      <c r="A58" s="144">
        <f t="shared" si="5"/>
        <v>46</v>
      </c>
      <c r="B58" s="86" t="s">
        <v>142</v>
      </c>
      <c r="C58" s="389"/>
      <c r="D58" s="81"/>
      <c r="H58" s="590"/>
    </row>
    <row r="59" spans="1:11">
      <c r="A59" s="144">
        <f t="shared" si="5"/>
        <v>47</v>
      </c>
      <c r="B59" s="162" t="s">
        <v>145</v>
      </c>
      <c r="C59" s="475">
        <f>'Marg Cust Cost by Rate Schedule'!R84</f>
        <v>517.86492293406832</v>
      </c>
      <c r="D59" s="392">
        <f t="shared" ref="D59:D61" si="6">C59/12</f>
        <v>43.155410244505696</v>
      </c>
      <c r="G59" s="161"/>
      <c r="H59" s="590"/>
    </row>
    <row r="60" spans="1:11">
      <c r="A60" s="144">
        <f t="shared" si="5"/>
        <v>48</v>
      </c>
      <c r="B60" s="112" t="s">
        <v>144</v>
      </c>
      <c r="C60" s="475">
        <f>'Marg Cust Cost by Rate Schedule'!R85</f>
        <v>2459.0926411729506</v>
      </c>
      <c r="D60" s="392">
        <f t="shared" si="6"/>
        <v>204.92438676441256</v>
      </c>
      <c r="G60" s="161"/>
      <c r="H60" s="590"/>
    </row>
    <row r="61" spans="1:11">
      <c r="A61" s="144">
        <f t="shared" si="5"/>
        <v>49</v>
      </c>
      <c r="B61" s="112" t="s">
        <v>185</v>
      </c>
      <c r="C61" s="475">
        <f>'Marg Cust Cost by Rate Schedule'!R86</f>
        <v>1652.4296137480585</v>
      </c>
      <c r="D61" s="392">
        <f t="shared" si="6"/>
        <v>137.7024678123382</v>
      </c>
      <c r="G61" s="161"/>
      <c r="H61" s="590"/>
    </row>
    <row r="62" spans="1:11">
      <c r="A62" s="144">
        <f t="shared" si="5"/>
        <v>50</v>
      </c>
      <c r="B62" s="86" t="s">
        <v>143</v>
      </c>
      <c r="C62" s="475"/>
      <c r="D62" s="392"/>
      <c r="G62" s="161"/>
      <c r="H62" s="590"/>
    </row>
    <row r="63" spans="1:11">
      <c r="A63" s="144">
        <f t="shared" si="5"/>
        <v>51</v>
      </c>
      <c r="B63" s="162" t="s">
        <v>145</v>
      </c>
      <c r="C63" s="475"/>
      <c r="D63" s="392"/>
      <c r="G63" s="161"/>
      <c r="H63" s="590"/>
    </row>
    <row r="64" spans="1:11">
      <c r="A64" s="144">
        <f t="shared" si="5"/>
        <v>52</v>
      </c>
      <c r="B64" s="112" t="s">
        <v>144</v>
      </c>
      <c r="C64" s="475">
        <f>'Marg Cust Cost by Rate Schedule'!R89</f>
        <v>989.75109407778245</v>
      </c>
      <c r="D64" s="392">
        <f t="shared" ref="D64:D66" si="7">C64/12</f>
        <v>82.479257839815205</v>
      </c>
      <c r="G64" s="161"/>
      <c r="H64" s="590"/>
    </row>
    <row r="65" spans="1:8">
      <c r="A65" s="144">
        <f t="shared" si="5"/>
        <v>53</v>
      </c>
      <c r="B65" s="112" t="s">
        <v>186</v>
      </c>
      <c r="C65" s="475">
        <f>'Marg Cust Cost by Rate Schedule'!R90</f>
        <v>989.75109407778245</v>
      </c>
      <c r="D65" s="392">
        <f t="shared" si="7"/>
        <v>82.479257839815205</v>
      </c>
      <c r="G65" s="161"/>
      <c r="H65" s="590"/>
    </row>
    <row r="66" spans="1:8" ht="13.5" thickBot="1">
      <c r="A66" s="144">
        <f t="shared" si="5"/>
        <v>54</v>
      </c>
      <c r="B66" s="56" t="s">
        <v>441</v>
      </c>
      <c r="C66" s="472">
        <f>'Marg Cust Cost by Rate Schedule'!R95</f>
        <v>1628.2352866066315</v>
      </c>
      <c r="D66" s="393">
        <f t="shared" si="7"/>
        <v>135.68627388388595</v>
      </c>
      <c r="F66" s="716"/>
      <c r="G66" s="161"/>
      <c r="H66" s="590"/>
    </row>
  </sheetData>
  <mergeCells count="5">
    <mergeCell ref="C7:D7"/>
    <mergeCell ref="A1:D1"/>
    <mergeCell ref="A2:D2"/>
    <mergeCell ref="A5:D5"/>
    <mergeCell ref="A3:D3"/>
  </mergeCells>
  <phoneticPr fontId="7" type="noConversion"/>
  <printOptions horizontalCentered="1"/>
  <pageMargins left="0.75" right="0.75" top="1" bottom="1" header="0.5" footer="0.5"/>
  <pageSetup scale="87" orientation="portrait" r:id="rId1"/>
  <headerFooter alignWithMargins="0">
    <oddFooter>&amp;L&amp;F
&amp;A&amp;R&amp;P of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29">
    <tabColor rgb="FF00642D"/>
    <pageSetUpPr fitToPage="1"/>
  </sheetPr>
  <dimension ref="A1:W65"/>
  <sheetViews>
    <sheetView zoomScaleNormal="100" workbookViewId="0">
      <pane xSplit="1" ySplit="5" topLeftCell="B6" activePane="bottomRight" state="frozen"/>
      <selection activeCell="D15" sqref="D15"/>
      <selection pane="topRight" activeCell="D15" sqref="D15"/>
      <selection pane="bottomLeft" activeCell="D15" sqref="D15"/>
      <selection pane="bottomRight" activeCell="B17" sqref="B17"/>
    </sheetView>
  </sheetViews>
  <sheetFormatPr defaultRowHeight="12.75"/>
  <cols>
    <col min="1" max="1" width="31.28515625" bestFit="1" customWidth="1"/>
    <col min="2" max="2" width="12.85546875" customWidth="1"/>
    <col min="3" max="3" width="11.5703125" customWidth="1"/>
    <col min="4" max="4" width="11.28515625" bestFit="1" customWidth="1"/>
    <col min="5" max="5" width="10.7109375" customWidth="1"/>
    <col min="6" max="6" width="12.85546875" customWidth="1"/>
    <col min="7" max="8" width="8.7109375" bestFit="1" customWidth="1"/>
    <col min="9" max="9" width="10.28515625" bestFit="1" customWidth="1"/>
    <col min="10" max="10" width="12.85546875" bestFit="1" customWidth="1"/>
    <col min="11" max="13" width="10.28515625" customWidth="1"/>
    <col min="14" max="14" width="12.85546875" bestFit="1" customWidth="1"/>
    <col min="15" max="16" width="11.28515625" bestFit="1" customWidth="1"/>
    <col min="17" max="17" width="10.28515625" customWidth="1"/>
    <col min="18" max="18" width="12.85546875" bestFit="1" customWidth="1"/>
    <col min="19" max="19" width="9.140625" bestFit="1" customWidth="1"/>
    <col min="20" max="20" width="10.28515625" bestFit="1" customWidth="1"/>
    <col min="21" max="21" width="10.140625" bestFit="1" customWidth="1"/>
  </cols>
  <sheetData>
    <row r="1" spans="1:21" ht="18.75" thickBot="1">
      <c r="A1" s="756" t="s">
        <v>127</v>
      </c>
      <c r="B1" s="756"/>
      <c r="C1" s="756"/>
      <c r="D1" s="756"/>
      <c r="E1" s="756"/>
      <c r="F1" s="756"/>
      <c r="G1" s="756"/>
      <c r="H1" s="756"/>
      <c r="I1" s="756"/>
      <c r="J1" s="756"/>
      <c r="K1" s="756"/>
      <c r="L1" s="756"/>
      <c r="M1" s="756"/>
      <c r="N1" s="756"/>
      <c r="O1" s="756"/>
      <c r="P1" s="756"/>
      <c r="Q1" s="756"/>
    </row>
    <row r="2" spans="1:21" ht="13.5" thickBot="1">
      <c r="A2" s="103"/>
      <c r="B2" s="749" t="s">
        <v>117</v>
      </c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50"/>
      <c r="S2" s="750"/>
      <c r="T2" s="750"/>
      <c r="U2" s="752"/>
    </row>
    <row r="3" spans="1:21">
      <c r="A3" s="163"/>
      <c r="B3" s="757" t="s">
        <v>113</v>
      </c>
      <c r="C3" s="758"/>
      <c r="D3" s="758"/>
      <c r="E3" s="759"/>
      <c r="F3" s="757" t="s">
        <v>100</v>
      </c>
      <c r="G3" s="758"/>
      <c r="H3" s="758"/>
      <c r="I3" s="759"/>
      <c r="J3" s="757" t="s">
        <v>101</v>
      </c>
      <c r="K3" s="758"/>
      <c r="L3" s="758"/>
      <c r="M3" s="759"/>
      <c r="N3" s="757" t="s">
        <v>99</v>
      </c>
      <c r="O3" s="758"/>
      <c r="P3" s="758"/>
      <c r="Q3" s="758"/>
      <c r="R3" s="751" t="s">
        <v>128</v>
      </c>
      <c r="S3" s="758"/>
      <c r="T3" s="758"/>
      <c r="U3" s="759"/>
    </row>
    <row r="4" spans="1:21" ht="13.5" thickBot="1">
      <c r="A4" s="77" t="s">
        <v>4</v>
      </c>
      <c r="B4" s="235" t="s">
        <v>36</v>
      </c>
      <c r="C4" s="236" t="s">
        <v>37</v>
      </c>
      <c r="D4" s="236" t="s">
        <v>38</v>
      </c>
      <c r="E4" s="237" t="s">
        <v>41</v>
      </c>
      <c r="F4" s="235" t="s">
        <v>36</v>
      </c>
      <c r="G4" s="236" t="s">
        <v>37</v>
      </c>
      <c r="H4" s="236" t="s">
        <v>38</v>
      </c>
      <c r="I4" s="237" t="s">
        <v>41</v>
      </c>
      <c r="J4" s="235" t="s">
        <v>36</v>
      </c>
      <c r="K4" s="236" t="s">
        <v>37</v>
      </c>
      <c r="L4" s="236" t="s">
        <v>38</v>
      </c>
      <c r="M4" s="237" t="s">
        <v>41</v>
      </c>
      <c r="N4" s="235" t="s">
        <v>36</v>
      </c>
      <c r="O4" s="236" t="s">
        <v>37</v>
      </c>
      <c r="P4" s="236" t="s">
        <v>40</v>
      </c>
      <c r="Q4" s="236" t="s">
        <v>41</v>
      </c>
      <c r="R4" s="235" t="s">
        <v>36</v>
      </c>
      <c r="S4" s="236" t="s">
        <v>37</v>
      </c>
      <c r="T4" s="236" t="s">
        <v>38</v>
      </c>
      <c r="U4" s="237" t="s">
        <v>41</v>
      </c>
    </row>
    <row r="5" spans="1:21">
      <c r="A5" s="10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6"/>
      <c r="O5" s="6"/>
      <c r="P5" s="6"/>
      <c r="Q5" s="6"/>
      <c r="R5" s="11"/>
      <c r="S5" s="12"/>
      <c r="T5" s="12"/>
      <c r="U5" s="76"/>
    </row>
    <row r="6" spans="1:21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8"/>
      <c r="O6" s="8"/>
      <c r="P6" s="8"/>
      <c r="Q6" s="8"/>
      <c r="R6" s="11"/>
      <c r="S6" s="12"/>
      <c r="T6" s="12"/>
      <c r="U6" s="76"/>
    </row>
    <row r="7" spans="1:21">
      <c r="A7" s="124" t="s">
        <v>5</v>
      </c>
      <c r="B7" s="109">
        <f>'Sm Comm Cust Fcst'!$P8*'Non-Residential TSM UC Adj'!B7</f>
        <v>0</v>
      </c>
      <c r="C7" s="23">
        <f>'Sm Comm Cust Fcst'!$P8*'Non-Residential TSM UC Adj'!C7</f>
        <v>0</v>
      </c>
      <c r="D7" s="23">
        <f>'Sm Comm Cust Fcst'!$P8*'Non-Residential TSM UC Adj'!D7</f>
        <v>0</v>
      </c>
      <c r="E7" s="41">
        <f>IF(SUM(B7:D7)=0,0,SUM(B7:D7)/'Sm Comm Cust Fcst'!P8)</f>
        <v>0</v>
      </c>
      <c r="F7" s="109">
        <f>'Sm Comm Cust Fcst'!$Q8*'Non-Residential TSM UC Adj'!F7</f>
        <v>0</v>
      </c>
      <c r="G7" s="23">
        <f>'Sm Comm Cust Fcst'!$Q8*'Non-Residential TSM UC Adj'!G7</f>
        <v>0</v>
      </c>
      <c r="H7" s="23">
        <f>'Sm Comm Cust Fcst'!$Q8*'Non-Residential TSM UC Adj'!H7</f>
        <v>0</v>
      </c>
      <c r="I7" s="41">
        <f>IF(SUM(F7:H7)=0,0,SUM(F7:H7)/'Sm Comm Cust Fcst'!Q8)</f>
        <v>0</v>
      </c>
      <c r="J7" s="109">
        <f>'Sm Comm Cust Fcst'!$R8*'Non-Residential TSM UC Adj'!J7</f>
        <v>0</v>
      </c>
      <c r="K7" s="23">
        <f>'Sm Comm Cust Fcst'!$R8*'Non-Residential TSM UC Adj'!K7</f>
        <v>0</v>
      </c>
      <c r="L7" s="23">
        <f>'Sm Comm Cust Fcst'!$R8*'Non-Residential TSM UC Adj'!L7</f>
        <v>0</v>
      </c>
      <c r="M7" s="41">
        <f>IF(SUM(J7:L7)=0,0,SUM(J7:L7)/'Sm Comm Cust Fcst'!R8)</f>
        <v>0</v>
      </c>
      <c r="N7" s="109">
        <f>'Sm Comm Cust Fcst'!$S8*'Non-Residential TSM UC Adj'!N7</f>
        <v>0</v>
      </c>
      <c r="O7" s="23">
        <f>'Sm Comm Cust Fcst'!$S8*'Non-Residential TSM UC Adj'!O7</f>
        <v>0</v>
      </c>
      <c r="P7" s="23">
        <f>'Sm Comm Cust Fcst'!$S8*'Non-Residential TSM UC Adj'!P7</f>
        <v>0</v>
      </c>
      <c r="Q7" s="23">
        <f>IF(SUM(N7:P7)=0,0,SUM(N7:P7)/'Sm Comm Cust Fcst'!S8)</f>
        <v>0</v>
      </c>
      <c r="R7" s="109">
        <f>B7+F7+J7+N7</f>
        <v>0</v>
      </c>
      <c r="S7" s="23">
        <f t="shared" ref="S7:T23" si="0">C7+G7+K7+O7</f>
        <v>0</v>
      </c>
      <c r="T7" s="23">
        <f t="shared" si="0"/>
        <v>0</v>
      </c>
      <c r="U7" s="41">
        <f>IF(SUM(R7:T7)=0,0,SUM(R7:T7)/'Sm Comm Cust Fcst'!T8)</f>
        <v>0</v>
      </c>
    </row>
    <row r="8" spans="1:21">
      <c r="A8" s="126" t="s">
        <v>201</v>
      </c>
      <c r="B8" s="109">
        <f>'Sm Comm Cust Fcst'!$P9*'Non-Residential TSM UC Adj'!B8</f>
        <v>0</v>
      </c>
      <c r="C8" s="23">
        <f>'Sm Comm Cust Fcst'!$P9*'Non-Residential TSM UC Adj'!C8</f>
        <v>0</v>
      </c>
      <c r="D8" s="23">
        <f>'Sm Comm Cust Fcst'!$P9*'Non-Residential TSM UC Adj'!D8</f>
        <v>0</v>
      </c>
      <c r="E8" s="41">
        <f>IF(SUM(B8:D8)=0,0,SUM(B8:D8)/'Sm Comm Cust Fcst'!P9)</f>
        <v>0</v>
      </c>
      <c r="F8" s="109">
        <f>'Sm Comm Cust Fcst'!$Q9*'Non-Residential TSM UC Adj'!F8</f>
        <v>0</v>
      </c>
      <c r="G8" s="23">
        <f>'Sm Comm Cust Fcst'!$Q9*'Non-Residential TSM UC Adj'!G8</f>
        <v>0</v>
      </c>
      <c r="H8" s="23">
        <f>'Sm Comm Cust Fcst'!$Q9*'Non-Residential TSM UC Adj'!H8</f>
        <v>0</v>
      </c>
      <c r="I8" s="41">
        <f>IF(SUM(F8:H8)=0,0,SUM(F8:H8)/'Sm Comm Cust Fcst'!Q9)</f>
        <v>0</v>
      </c>
      <c r="J8" s="109">
        <f>'Sm Comm Cust Fcst'!$R9*'Non-Residential TSM UC Adj'!J8</f>
        <v>0</v>
      </c>
      <c r="K8" s="23">
        <f>'Sm Comm Cust Fcst'!$R9*'Non-Residential TSM UC Adj'!K8</f>
        <v>0</v>
      </c>
      <c r="L8" s="23">
        <f>'Sm Comm Cust Fcst'!$R9*'Non-Residential TSM UC Adj'!L8</f>
        <v>0</v>
      </c>
      <c r="M8" s="41">
        <f>IF(SUM(J8:L8)=0,0,SUM(J8:L8)/'Sm Comm Cust Fcst'!R9)</f>
        <v>0</v>
      </c>
      <c r="N8" s="109">
        <f>'Sm Comm Cust Fcst'!$S9*'Non-Residential TSM UC Adj'!N8</f>
        <v>0</v>
      </c>
      <c r="O8" s="23">
        <f>'Sm Comm Cust Fcst'!$S9*'Non-Residential TSM UC Adj'!O8</f>
        <v>0</v>
      </c>
      <c r="P8" s="23">
        <f>'Sm Comm Cust Fcst'!$S9*'Non-Residential TSM UC Adj'!P8</f>
        <v>0</v>
      </c>
      <c r="Q8" s="41">
        <f>IF(SUM(N8:P8)=0,0,SUM(N8:P8)/'Sm Comm Cust Fcst'!S9)</f>
        <v>0</v>
      </c>
      <c r="R8" s="109">
        <f>B8+F8+J8+N8</f>
        <v>0</v>
      </c>
      <c r="S8" s="23">
        <f>C8+G8+K8+O8</f>
        <v>0</v>
      </c>
      <c r="T8" s="23">
        <f>D8+H8+L8+P8</f>
        <v>0</v>
      </c>
      <c r="U8" s="41">
        <f>IF(SUM(R8:T8)=0,0,SUM(R8:T8)/'Sm Comm Cust Fcst'!T9)</f>
        <v>0</v>
      </c>
    </row>
    <row r="9" spans="1:21">
      <c r="A9" s="125" t="s">
        <v>202</v>
      </c>
      <c r="B9" s="109">
        <f>'Sm Comm Cust Fcst'!$P10*'Non-Residential TSM UC Adj'!B8</f>
        <v>0</v>
      </c>
      <c r="C9" s="23">
        <f>'Sm Comm Cust Fcst'!$P10*'Non-Residential TSM UC Adj'!C8</f>
        <v>0</v>
      </c>
      <c r="D9" s="23">
        <f>'Sm Comm Cust Fcst'!$P10*'Non-Residential TSM UC Adj'!D8</f>
        <v>0</v>
      </c>
      <c r="E9" s="41">
        <f>IF(SUM(B9:D9)=0,0,SUM(B9:D9)/'Sm Comm Cust Fcst'!P10)</f>
        <v>0</v>
      </c>
      <c r="F9" s="109">
        <f>'Sm Comm Cust Fcst'!$Q10*'Non-Residential TSM UC Adj'!F8</f>
        <v>0</v>
      </c>
      <c r="G9" s="23">
        <f>'Sm Comm Cust Fcst'!$Q10*'Non-Residential TSM UC Adj'!G8</f>
        <v>0</v>
      </c>
      <c r="H9" s="23">
        <f>'Sm Comm Cust Fcst'!$Q10*'Non-Residential TSM UC Adj'!H8</f>
        <v>0</v>
      </c>
      <c r="I9" s="41">
        <f>IF(SUM(F9:H9)=0,0,SUM(F9:H9)/'Sm Comm Cust Fcst'!Q10)</f>
        <v>0</v>
      </c>
      <c r="J9" s="109">
        <f>'Sm Comm Cust Fcst'!$R10*'Non-Residential TSM UC Adj'!J8</f>
        <v>0</v>
      </c>
      <c r="K9" s="23">
        <f>'Sm Comm Cust Fcst'!$R10*'Non-Residential TSM UC Adj'!K8</f>
        <v>0</v>
      </c>
      <c r="L9" s="23">
        <f>'Sm Comm Cust Fcst'!$R10*'Non-Residential TSM UC Adj'!L8</f>
        <v>0</v>
      </c>
      <c r="M9" s="41">
        <f>IF(SUM(J9:L9)=0,0,SUM(J9:L9)/'Sm Comm Cust Fcst'!R10)</f>
        <v>0</v>
      </c>
      <c r="N9" s="109">
        <f>'Sm Comm Cust Fcst'!$S10*'Non-Residential TSM UC Adj'!N8</f>
        <v>0</v>
      </c>
      <c r="O9" s="23">
        <f>'Sm Comm Cust Fcst'!$S10*'Non-Residential TSM UC Adj'!O8</f>
        <v>0</v>
      </c>
      <c r="P9" s="23">
        <f>'Sm Comm Cust Fcst'!$S10*'Non-Residential TSM UC Adj'!P8</f>
        <v>0</v>
      </c>
      <c r="Q9" s="23">
        <f>IF(SUM(N9:P9)=0,0,SUM(N9:P9)/'Sm Comm Cust Fcst'!S10)</f>
        <v>0</v>
      </c>
      <c r="R9" s="109">
        <f t="shared" ref="R9:T38" si="1">B9+F9+J9+N9</f>
        <v>0</v>
      </c>
      <c r="S9" s="23">
        <f t="shared" si="0"/>
        <v>0</v>
      </c>
      <c r="T9" s="23">
        <f t="shared" si="0"/>
        <v>0</v>
      </c>
      <c r="U9" s="41">
        <f>IF(SUM(R9:T9)=0,0,SUM(R9:T9)/'Sm Comm Cust Fcst'!T10)</f>
        <v>0</v>
      </c>
    </row>
    <row r="10" spans="1:21">
      <c r="A10" s="126" t="s">
        <v>7</v>
      </c>
      <c r="B10" s="109">
        <f>'Sm Comm Cust Fcst'!$P11*'Non-Residential TSM UC Adj'!B9</f>
        <v>0</v>
      </c>
      <c r="C10" s="23">
        <f>'Sm Comm Cust Fcst'!$P11*'Non-Residential TSM UC Adj'!C9</f>
        <v>0</v>
      </c>
      <c r="D10" s="23">
        <f>'Sm Comm Cust Fcst'!$P11*'Non-Residential TSM UC Adj'!D9</f>
        <v>0</v>
      </c>
      <c r="E10" s="41">
        <f>IF(SUM(B10:D10)=0,0,SUM(B10:D10)/'Sm Comm Cust Fcst'!P11)</f>
        <v>0</v>
      </c>
      <c r="F10" s="109">
        <f>'Sm Comm Cust Fcst'!$Q11*'Non-Residential TSM UC Adj'!F9</f>
        <v>0</v>
      </c>
      <c r="G10" s="23">
        <f>'Sm Comm Cust Fcst'!$Q11*'Non-Residential TSM UC Adj'!G9</f>
        <v>0</v>
      </c>
      <c r="H10" s="23">
        <f>'Sm Comm Cust Fcst'!$Q11*'Non-Residential TSM UC Adj'!H9</f>
        <v>0</v>
      </c>
      <c r="I10" s="41">
        <f>IF(SUM(F10:H10)=0,0,SUM(F10:H10)/'Sm Comm Cust Fcst'!Q11)</f>
        <v>0</v>
      </c>
      <c r="J10" s="109">
        <f>'Sm Comm Cust Fcst'!$R11*'Non-Residential TSM UC Adj'!J9</f>
        <v>0</v>
      </c>
      <c r="K10" s="23">
        <f>'Sm Comm Cust Fcst'!$R11*'Non-Residential TSM UC Adj'!K9</f>
        <v>0</v>
      </c>
      <c r="L10" s="23">
        <f>'Sm Comm Cust Fcst'!$R11*'Non-Residential TSM UC Adj'!L9</f>
        <v>0</v>
      </c>
      <c r="M10" s="41">
        <f>IF(SUM(J10:L10)=0,0,SUM(J10:L10)/'Sm Comm Cust Fcst'!R11)</f>
        <v>0</v>
      </c>
      <c r="N10" s="109">
        <f>'Sm Comm Cust Fcst'!$S11*'Non-Residential TSM UC Adj'!N9</f>
        <v>0</v>
      </c>
      <c r="O10" s="23">
        <f>'Sm Comm Cust Fcst'!$S11*'Non-Residential TSM UC Adj'!O9</f>
        <v>0</v>
      </c>
      <c r="P10" s="23">
        <f>'Sm Comm Cust Fcst'!$S11*'Non-Residential TSM UC Adj'!P9</f>
        <v>0</v>
      </c>
      <c r="Q10" s="23">
        <f>IF(SUM(N10:P10)=0,0,SUM(N10:P10)/'Sm Comm Cust Fcst'!S11)</f>
        <v>0</v>
      </c>
      <c r="R10" s="109">
        <f t="shared" si="1"/>
        <v>0</v>
      </c>
      <c r="S10" s="23">
        <f t="shared" si="0"/>
        <v>0</v>
      </c>
      <c r="T10" s="23">
        <f t="shared" si="0"/>
        <v>0</v>
      </c>
      <c r="U10" s="41">
        <f>IF(SUM(R10:T10)=0,0,SUM(R10:T10)/'Sm Comm Cust Fcst'!T11)</f>
        <v>0</v>
      </c>
    </row>
    <row r="11" spans="1:21">
      <c r="A11" s="126" t="s">
        <v>110</v>
      </c>
      <c r="B11" s="109">
        <f>'Sm Comm Cust Fcst'!$P12*'Non-Residential TSM UC Adj'!B10</f>
        <v>0</v>
      </c>
      <c r="C11" s="23">
        <f>'Sm Comm Cust Fcst'!$P12*'Non-Residential TSM UC Adj'!C10</f>
        <v>0</v>
      </c>
      <c r="D11" s="23">
        <f>'Sm Comm Cust Fcst'!$P12*'Non-Residential TSM UC Adj'!D10</f>
        <v>0</v>
      </c>
      <c r="E11" s="41">
        <f>IF(SUM(B11:D11)=0,0,SUM(B11:D11)/'Sm Comm Cust Fcst'!P12)</f>
        <v>0</v>
      </c>
      <c r="F11" s="109">
        <f>'Sm Comm Cust Fcst'!$Q12*'Non-Residential TSM UC Adj'!F10</f>
        <v>0</v>
      </c>
      <c r="G11" s="23">
        <f>'Sm Comm Cust Fcst'!$Q12*'Non-Residential TSM UC Adj'!G10</f>
        <v>0</v>
      </c>
      <c r="H11" s="23">
        <f>'Sm Comm Cust Fcst'!$Q12*'Non-Residential TSM UC Adj'!H10</f>
        <v>0</v>
      </c>
      <c r="I11" s="41">
        <f>IF(SUM(F11:H11)=0,0,SUM(F11:H11)/'Sm Comm Cust Fcst'!Q12)</f>
        <v>0</v>
      </c>
      <c r="J11" s="109">
        <f>'Sm Comm Cust Fcst'!$R12*'Non-Residential TSM UC Adj'!J10</f>
        <v>0</v>
      </c>
      <c r="K11" s="23">
        <f>'Sm Comm Cust Fcst'!$R12*'Non-Residential TSM UC Adj'!K10</f>
        <v>0</v>
      </c>
      <c r="L11" s="23">
        <f>'Sm Comm Cust Fcst'!$R12*'Non-Residential TSM UC Adj'!L10</f>
        <v>0</v>
      </c>
      <c r="M11" s="41">
        <f>IF(SUM(J11:L11)=0,0,SUM(J11:L11)/'Sm Comm Cust Fcst'!R12)</f>
        <v>0</v>
      </c>
      <c r="N11" s="109">
        <f>'Sm Comm Cust Fcst'!$S12*'Non-Residential TSM UC Adj'!N10</f>
        <v>0</v>
      </c>
      <c r="O11" s="23">
        <f>'Sm Comm Cust Fcst'!$S12*'Non-Residential TSM UC Adj'!O10</f>
        <v>0</v>
      </c>
      <c r="P11" s="23">
        <f>'Sm Comm Cust Fcst'!$S12*'Non-Residential TSM UC Adj'!P10</f>
        <v>0</v>
      </c>
      <c r="Q11" s="23">
        <f>IF(SUM(N11:P11)=0,0,SUM(N11:P11)/'Sm Comm Cust Fcst'!S12)</f>
        <v>0</v>
      </c>
      <c r="R11" s="109">
        <f t="shared" si="1"/>
        <v>0</v>
      </c>
      <c r="S11" s="23">
        <f t="shared" si="0"/>
        <v>0</v>
      </c>
      <c r="T11" s="23">
        <f t="shared" si="0"/>
        <v>0</v>
      </c>
      <c r="U11" s="41">
        <f>IF(SUM(R11:T11)=0,0,SUM(R11:T11)/'Sm Comm Cust Fcst'!T12)</f>
        <v>0</v>
      </c>
    </row>
    <row r="12" spans="1:21">
      <c r="A12" s="126" t="s">
        <v>102</v>
      </c>
      <c r="B12" s="109">
        <f>'Sm Comm Cust Fcst'!$P13*'Non-Residential TSM UC Adj'!B11</f>
        <v>2182.7286417415198</v>
      </c>
      <c r="C12" s="23">
        <f>'Sm Comm Cust Fcst'!$P13*'Non-Residential TSM UC Adj'!C11</f>
        <v>172.82934577832256</v>
      </c>
      <c r="D12" s="23">
        <f>'Sm Comm Cust Fcst'!$P13*'Non-Residential TSM UC Adj'!D11</f>
        <v>231.00861885131383</v>
      </c>
      <c r="E12" s="41">
        <f>IF(SUM(B12:D12)=0,0,SUM(B12:D12)/'Sm Comm Cust Fcst'!P13)</f>
        <v>2586.566606371156</v>
      </c>
      <c r="F12" s="109">
        <f>'Sm Comm Cust Fcst'!$Q13*'Non-Residential TSM UC Adj'!F11</f>
        <v>0</v>
      </c>
      <c r="G12" s="23">
        <f>'Sm Comm Cust Fcst'!$Q13*'Non-Residential TSM UC Adj'!G11</f>
        <v>0</v>
      </c>
      <c r="H12" s="23">
        <f>'Sm Comm Cust Fcst'!$Q13*'Non-Residential TSM UC Adj'!H11</f>
        <v>0</v>
      </c>
      <c r="I12" s="41">
        <f>IF(SUM(F12:H12)=0,0,SUM(F12:H12)/'Sm Comm Cust Fcst'!Q13)</f>
        <v>0</v>
      </c>
      <c r="J12" s="109">
        <f>'Sm Comm Cust Fcst'!$R13*'Non-Residential TSM UC Adj'!J11</f>
        <v>0</v>
      </c>
      <c r="K12" s="23">
        <f>'Sm Comm Cust Fcst'!$R13*'Non-Residential TSM UC Adj'!K11</f>
        <v>0</v>
      </c>
      <c r="L12" s="23">
        <f>'Sm Comm Cust Fcst'!$R13*'Non-Residential TSM UC Adj'!L11</f>
        <v>0</v>
      </c>
      <c r="M12" s="41">
        <f>IF(SUM(J12:L12)=0,0,SUM(J12:L12)/'Sm Comm Cust Fcst'!R13)</f>
        <v>0</v>
      </c>
      <c r="N12" s="109">
        <f>'Sm Comm Cust Fcst'!$S13*'Non-Residential TSM UC Adj'!N11</f>
        <v>0</v>
      </c>
      <c r="O12" s="23">
        <f>'Sm Comm Cust Fcst'!$S13*'Non-Residential TSM UC Adj'!O11</f>
        <v>0</v>
      </c>
      <c r="P12" s="23">
        <f>'Sm Comm Cust Fcst'!$S13*'Non-Residential TSM UC Adj'!P11</f>
        <v>0</v>
      </c>
      <c r="Q12" s="23">
        <f>IF(SUM(N12:P12)=0,0,SUM(N12:P12)/'Sm Comm Cust Fcst'!S13)</f>
        <v>0</v>
      </c>
      <c r="R12" s="109">
        <f t="shared" si="1"/>
        <v>2182.7286417415198</v>
      </c>
      <c r="S12" s="23">
        <f t="shared" si="0"/>
        <v>172.82934577832256</v>
      </c>
      <c r="T12" s="23">
        <f t="shared" si="0"/>
        <v>231.00861885131383</v>
      </c>
      <c r="U12" s="41">
        <f>IF(SUM(R12:T12)=0,0,SUM(R12:T12)/'Sm Comm Cust Fcst'!T13)</f>
        <v>2586.566606371156</v>
      </c>
    </row>
    <row r="13" spans="1:21">
      <c r="A13" s="126" t="s">
        <v>8</v>
      </c>
      <c r="B13" s="109">
        <f>'Sm Comm Cust Fcst'!$P14*'Non-Residential TSM UC Adj'!B12</f>
        <v>0</v>
      </c>
      <c r="C13" s="23">
        <f>'Sm Comm Cust Fcst'!$P14*'Non-Residential TSM UC Adj'!C12</f>
        <v>0</v>
      </c>
      <c r="D13" s="23">
        <f>'Sm Comm Cust Fcst'!$P14*'Non-Residential TSM UC Adj'!D12</f>
        <v>0</v>
      </c>
      <c r="E13" s="41">
        <f>IF(SUM(B13:D13)=0,0,SUM(B13:D13)/'Sm Comm Cust Fcst'!P14)</f>
        <v>0</v>
      </c>
      <c r="F13" s="109">
        <f>'Sm Comm Cust Fcst'!$Q14*'Non-Residential TSM UC Adj'!F12</f>
        <v>0</v>
      </c>
      <c r="G13" s="23">
        <f>'Sm Comm Cust Fcst'!$Q14*'Non-Residential TSM UC Adj'!G12</f>
        <v>0</v>
      </c>
      <c r="H13" s="23">
        <f>'Sm Comm Cust Fcst'!$Q14*'Non-Residential TSM UC Adj'!H12</f>
        <v>0</v>
      </c>
      <c r="I13" s="41">
        <f>IF(SUM(F13:H13)=0,0,SUM(F13:H13)/'Sm Comm Cust Fcst'!Q14)</f>
        <v>0</v>
      </c>
      <c r="J13" s="109">
        <f>'Sm Comm Cust Fcst'!$R14*'Non-Residential TSM UC Adj'!J12</f>
        <v>14844.294879568015</v>
      </c>
      <c r="K13" s="23">
        <f>'Sm Comm Cust Fcst'!$R14*'Non-Residential TSM UC Adj'!K12</f>
        <v>935.23510714228996</v>
      </c>
      <c r="L13" s="23">
        <f>'Sm Comm Cust Fcst'!$R14*'Non-Residential TSM UC Adj'!L12</f>
        <v>297.01685728884092</v>
      </c>
      <c r="M13" s="41">
        <f>IF(SUM(J13:L13)=0,0,SUM(J13:L13)/'Sm Comm Cust Fcst'!R14)</f>
        <v>16076.546843999147</v>
      </c>
      <c r="N13" s="109">
        <f>'Sm Comm Cust Fcst'!$S14*'Non-Residential TSM UC Adj'!N12</f>
        <v>0</v>
      </c>
      <c r="O13" s="23">
        <f>'Sm Comm Cust Fcst'!$S14*'Non-Residential TSM UC Adj'!O12</f>
        <v>0</v>
      </c>
      <c r="P13" s="23">
        <f>'Sm Comm Cust Fcst'!$S14*'Non-Residential TSM UC Adj'!P12</f>
        <v>0</v>
      </c>
      <c r="Q13" s="23">
        <f>IF(SUM(N13:P13)=0,0,SUM(N13:P13)/'Sm Comm Cust Fcst'!S14)</f>
        <v>0</v>
      </c>
      <c r="R13" s="109">
        <f t="shared" si="1"/>
        <v>14844.294879568015</v>
      </c>
      <c r="S13" s="23">
        <f t="shared" si="0"/>
        <v>935.23510714228996</v>
      </c>
      <c r="T13" s="23">
        <f t="shared" si="0"/>
        <v>297.01685728884092</v>
      </c>
      <c r="U13" s="41">
        <f>IF(SUM(R13:T13)=0,0,SUM(R13:T13)/'Sm Comm Cust Fcst'!T14)</f>
        <v>16076.546843999147</v>
      </c>
    </row>
    <row r="14" spans="1:21">
      <c r="A14" s="126" t="s">
        <v>9</v>
      </c>
      <c r="B14" s="109">
        <f>'Sm Comm Cust Fcst'!$P15*'Non-Residential TSM UC Adj'!B13</f>
        <v>0</v>
      </c>
      <c r="C14" s="23">
        <f>'Sm Comm Cust Fcst'!$P15*'Non-Residential TSM UC Adj'!C13</f>
        <v>0</v>
      </c>
      <c r="D14" s="23">
        <f>'Sm Comm Cust Fcst'!$P15*'Non-Residential TSM UC Adj'!D13</f>
        <v>0</v>
      </c>
      <c r="E14" s="41">
        <f>IF(SUM(B14:D14)=0,0,SUM(B14:D14)/'Sm Comm Cust Fcst'!P15)</f>
        <v>0</v>
      </c>
      <c r="F14" s="109">
        <f>'Sm Comm Cust Fcst'!$Q15*'Non-Residential TSM UC Adj'!F13</f>
        <v>0</v>
      </c>
      <c r="G14" s="23">
        <f>'Sm Comm Cust Fcst'!$Q15*'Non-Residential TSM UC Adj'!G13</f>
        <v>0</v>
      </c>
      <c r="H14" s="23">
        <f>'Sm Comm Cust Fcst'!$Q15*'Non-Residential TSM UC Adj'!H13</f>
        <v>0</v>
      </c>
      <c r="I14" s="41">
        <f>IF(SUM(F14:H14)=0,0,SUM(F14:H14)/'Sm Comm Cust Fcst'!Q15)</f>
        <v>0</v>
      </c>
      <c r="J14" s="109">
        <f>'Sm Comm Cust Fcst'!$R15*'Non-Residential TSM UC Adj'!J13</f>
        <v>0</v>
      </c>
      <c r="K14" s="23">
        <f>'Sm Comm Cust Fcst'!$R15*'Non-Residential TSM UC Adj'!K13</f>
        <v>0</v>
      </c>
      <c r="L14" s="23">
        <f>'Sm Comm Cust Fcst'!$R15*'Non-Residential TSM UC Adj'!L13</f>
        <v>0</v>
      </c>
      <c r="M14" s="41">
        <f>IF(SUM(J14:L14)=0,0,SUM(J14:L14)/'Sm Comm Cust Fcst'!R15)</f>
        <v>0</v>
      </c>
      <c r="N14" s="109">
        <f>'Sm Comm Cust Fcst'!$S15*'Non-Residential TSM UC Adj'!N13</f>
        <v>0</v>
      </c>
      <c r="O14" s="23">
        <f>'Sm Comm Cust Fcst'!$S15*'Non-Residential TSM UC Adj'!O13</f>
        <v>0</v>
      </c>
      <c r="P14" s="23">
        <f>'Sm Comm Cust Fcst'!$S15*'Non-Residential TSM UC Adj'!P13</f>
        <v>0</v>
      </c>
      <c r="Q14" s="23">
        <f>IF(SUM(N14:P14)=0,0,SUM(N14:P14)/'Sm Comm Cust Fcst'!S15)</f>
        <v>0</v>
      </c>
      <c r="R14" s="109">
        <f t="shared" si="1"/>
        <v>0</v>
      </c>
      <c r="S14" s="23">
        <f t="shared" si="0"/>
        <v>0</v>
      </c>
      <c r="T14" s="23">
        <f t="shared" si="0"/>
        <v>0</v>
      </c>
      <c r="U14" s="41">
        <f>IF(SUM(R14:T14)=0,0,SUM(R14:T14)/'Sm Comm Cust Fcst'!T15)</f>
        <v>0</v>
      </c>
    </row>
    <row r="15" spans="1:21">
      <c r="A15" s="126" t="s">
        <v>10</v>
      </c>
      <c r="B15" s="109">
        <f>'Sm Comm Cust Fcst'!$P16*'Non-Residential TSM UC Adj'!B14</f>
        <v>0</v>
      </c>
      <c r="C15" s="23">
        <f>'Sm Comm Cust Fcst'!$P16*'Non-Residential TSM UC Adj'!C14</f>
        <v>0</v>
      </c>
      <c r="D15" s="23">
        <f>'Sm Comm Cust Fcst'!$P16*'Non-Residential TSM UC Adj'!D14</f>
        <v>0</v>
      </c>
      <c r="E15" s="41">
        <f>IF(SUM(B15:D15)=0,0,SUM(B15:D15)/'Sm Comm Cust Fcst'!P16)</f>
        <v>0</v>
      </c>
      <c r="F15" s="109">
        <f>'Sm Comm Cust Fcst'!$Q16*'Non-Residential TSM UC Adj'!F14</f>
        <v>0</v>
      </c>
      <c r="G15" s="23">
        <f>'Sm Comm Cust Fcst'!$Q16*'Non-Residential TSM UC Adj'!G14</f>
        <v>0</v>
      </c>
      <c r="H15" s="23">
        <f>'Sm Comm Cust Fcst'!$Q16*'Non-Residential TSM UC Adj'!H14</f>
        <v>0</v>
      </c>
      <c r="I15" s="41">
        <f>IF(SUM(F15:H15)=0,0,SUM(F15:H15)/'Sm Comm Cust Fcst'!Q16)</f>
        <v>0</v>
      </c>
      <c r="J15" s="109">
        <f>'Sm Comm Cust Fcst'!$R16*'Non-Residential TSM UC Adj'!J14</f>
        <v>0</v>
      </c>
      <c r="K15" s="23">
        <f>'Sm Comm Cust Fcst'!$R16*'Non-Residential TSM UC Adj'!K14</f>
        <v>0</v>
      </c>
      <c r="L15" s="23">
        <f>'Sm Comm Cust Fcst'!$R16*'Non-Residential TSM UC Adj'!L14</f>
        <v>0</v>
      </c>
      <c r="M15" s="41">
        <f>IF(SUM(J15:L15)=0,0,SUM(J15:L15)/'Sm Comm Cust Fcst'!R16)</f>
        <v>0</v>
      </c>
      <c r="N15" s="109">
        <f>'Sm Comm Cust Fcst'!$S16*'Non-Residential TSM UC Adj'!N14</f>
        <v>0</v>
      </c>
      <c r="O15" s="23">
        <f>'Sm Comm Cust Fcst'!$S16*'Non-Residential TSM UC Adj'!O14</f>
        <v>0</v>
      </c>
      <c r="P15" s="23">
        <f>'Sm Comm Cust Fcst'!$S16*'Non-Residential TSM UC Adj'!P14</f>
        <v>0</v>
      </c>
      <c r="Q15" s="23">
        <f>IF(SUM(N15:P15)=0,0,SUM(N15:P15)/'Sm Comm Cust Fcst'!S16)</f>
        <v>0</v>
      </c>
      <c r="R15" s="109">
        <f t="shared" si="1"/>
        <v>0</v>
      </c>
      <c r="S15" s="23">
        <f t="shared" si="0"/>
        <v>0</v>
      </c>
      <c r="T15" s="23">
        <f t="shared" si="0"/>
        <v>0</v>
      </c>
      <c r="U15" s="41">
        <f>IF(SUM(R15:T15)=0,0,SUM(R15:T15)/'Sm Comm Cust Fcst'!T16)</f>
        <v>0</v>
      </c>
    </row>
    <row r="16" spans="1:21">
      <c r="A16" s="126" t="s">
        <v>11</v>
      </c>
      <c r="B16" s="109">
        <f>'Sm Comm Cust Fcst'!$P17*'Non-Residential TSM UC Adj'!B15</f>
        <v>0</v>
      </c>
      <c r="C16" s="23">
        <f>'Sm Comm Cust Fcst'!$P17*'Non-Residential TSM UC Adj'!C15</f>
        <v>0</v>
      </c>
      <c r="D16" s="23">
        <f>'Sm Comm Cust Fcst'!$P17*'Non-Residential TSM UC Adj'!D15</f>
        <v>0</v>
      </c>
      <c r="E16" s="41">
        <f>IF(SUM(B16:D16)=0,0,SUM(B16:D16)/'Sm Comm Cust Fcst'!P17)</f>
        <v>0</v>
      </c>
      <c r="F16" s="109">
        <f>'Sm Comm Cust Fcst'!$Q17*'Non-Residential TSM UC Adj'!F15</f>
        <v>0</v>
      </c>
      <c r="G16" s="23">
        <f>'Sm Comm Cust Fcst'!$Q17*'Non-Residential TSM UC Adj'!G15</f>
        <v>0</v>
      </c>
      <c r="H16" s="23">
        <f>'Sm Comm Cust Fcst'!$Q17*'Non-Residential TSM UC Adj'!H15</f>
        <v>0</v>
      </c>
      <c r="I16" s="41">
        <f>IF(SUM(F16:H16)=0,0,SUM(F16:H16)/'Sm Comm Cust Fcst'!Q17)</f>
        <v>0</v>
      </c>
      <c r="J16" s="109">
        <f>'Sm Comm Cust Fcst'!$R17*'Non-Residential TSM UC Adj'!J15</f>
        <v>0</v>
      </c>
      <c r="K16" s="23">
        <f>'Sm Comm Cust Fcst'!$R17*'Non-Residential TSM UC Adj'!K15</f>
        <v>0</v>
      </c>
      <c r="L16" s="23">
        <f>'Sm Comm Cust Fcst'!$R17*'Non-Residential TSM UC Adj'!L15</f>
        <v>0</v>
      </c>
      <c r="M16" s="41">
        <f>IF(SUM(J16:L16)=0,0,SUM(J16:L16)/'Sm Comm Cust Fcst'!R17)</f>
        <v>0</v>
      </c>
      <c r="N16" s="109">
        <f>'Sm Comm Cust Fcst'!$S17*'Non-Residential TSM UC Adj'!N15</f>
        <v>0</v>
      </c>
      <c r="O16" s="23">
        <f>'Sm Comm Cust Fcst'!$S17*'Non-Residential TSM UC Adj'!O15</f>
        <v>0</v>
      </c>
      <c r="P16" s="23">
        <f>'Sm Comm Cust Fcst'!$S17*'Non-Residential TSM UC Adj'!P15</f>
        <v>0</v>
      </c>
      <c r="Q16" s="23">
        <f>IF(SUM(N16:P16)=0,0,SUM(N16:P16)/'Sm Comm Cust Fcst'!S17)</f>
        <v>0</v>
      </c>
      <c r="R16" s="109">
        <f t="shared" si="1"/>
        <v>0</v>
      </c>
      <c r="S16" s="23">
        <f t="shared" si="0"/>
        <v>0</v>
      </c>
      <c r="T16" s="23">
        <f t="shared" si="0"/>
        <v>0</v>
      </c>
      <c r="U16" s="41">
        <f>IF(SUM(R16:T16)=0,0,SUM(R16:T16)/'Sm Comm Cust Fcst'!T17)</f>
        <v>0</v>
      </c>
    </row>
    <row r="17" spans="1:21">
      <c r="A17" s="126" t="s">
        <v>106</v>
      </c>
      <c r="B17" s="109">
        <f>'Sm Comm Cust Fcst'!$P18*'Non-Residential TSM UC Adj'!B16</f>
        <v>0</v>
      </c>
      <c r="C17" s="23">
        <f>'Sm Comm Cust Fcst'!$P18*'Non-Residential TSM UC Adj'!C16</f>
        <v>0</v>
      </c>
      <c r="D17" s="23">
        <f>'Sm Comm Cust Fcst'!$P18*'Non-Residential TSM UC Adj'!D16</f>
        <v>0</v>
      </c>
      <c r="E17" s="41">
        <f>IF(SUM(B17:D17)=0,0,SUM(B17:D17)/'Sm Comm Cust Fcst'!P18)</f>
        <v>0</v>
      </c>
      <c r="F17" s="109">
        <f>'Sm Comm Cust Fcst'!$Q18*'Non-Residential TSM UC Adj'!F16</f>
        <v>0</v>
      </c>
      <c r="G17" s="23">
        <f>'Sm Comm Cust Fcst'!$Q18*'Non-Residential TSM UC Adj'!G16</f>
        <v>0</v>
      </c>
      <c r="H17" s="23">
        <f>'Sm Comm Cust Fcst'!$Q18*'Non-Residential TSM UC Adj'!H16</f>
        <v>0</v>
      </c>
      <c r="I17" s="41">
        <f>IF(SUM(F17:H17)=0,0,SUM(F17:H17)/'Sm Comm Cust Fcst'!Q18)</f>
        <v>0</v>
      </c>
      <c r="J17" s="109">
        <f>'Sm Comm Cust Fcst'!$R18*'Non-Residential TSM UC Adj'!J16</f>
        <v>0</v>
      </c>
      <c r="K17" s="23">
        <f>'Sm Comm Cust Fcst'!$R18*'Non-Residential TSM UC Adj'!K16</f>
        <v>0</v>
      </c>
      <c r="L17" s="23">
        <f>'Sm Comm Cust Fcst'!$R18*'Non-Residential TSM UC Adj'!L16</f>
        <v>0</v>
      </c>
      <c r="M17" s="41">
        <f>IF(SUM(J17:L17)=0,0,SUM(J17:L17)/'Sm Comm Cust Fcst'!R18)</f>
        <v>0</v>
      </c>
      <c r="N17" s="109">
        <f>'Sm Comm Cust Fcst'!$S18*'Non-Residential TSM UC Adj'!N16</f>
        <v>0</v>
      </c>
      <c r="O17" s="23">
        <f>'Sm Comm Cust Fcst'!$S18*'Non-Residential TSM UC Adj'!O16</f>
        <v>0</v>
      </c>
      <c r="P17" s="23">
        <f>'Sm Comm Cust Fcst'!$S18*'Non-Residential TSM UC Adj'!P16</f>
        <v>0</v>
      </c>
      <c r="Q17" s="23">
        <f>IF(SUM(N17:P17)=0,0,SUM(N17:P17)/'Sm Comm Cust Fcst'!S18)</f>
        <v>0</v>
      </c>
      <c r="R17" s="109">
        <f t="shared" si="1"/>
        <v>0</v>
      </c>
      <c r="S17" s="23">
        <f t="shared" si="0"/>
        <v>0</v>
      </c>
      <c r="T17" s="23">
        <f t="shared" si="0"/>
        <v>0</v>
      </c>
      <c r="U17" s="41">
        <f>IF(SUM(R17:T17)=0,0,SUM(R17:T17)/'Sm Comm Cust Fcst'!T18)</f>
        <v>0</v>
      </c>
    </row>
    <row r="18" spans="1:21">
      <c r="A18" s="126" t="s">
        <v>107</v>
      </c>
      <c r="B18" s="109">
        <f>'Sm Comm Cust Fcst'!$P19*'Non-Residential TSM UC Adj'!J17</f>
        <v>0</v>
      </c>
      <c r="C18" s="23">
        <f>'Sm Comm Cust Fcst'!$P19*'Non-Residential TSM UC Adj'!K17</f>
        <v>0</v>
      </c>
      <c r="D18" s="23">
        <f>'Sm Comm Cust Fcst'!$P19*'Non-Residential TSM UC Adj'!L17</f>
        <v>0</v>
      </c>
      <c r="E18" s="41">
        <f>IF(SUM(B18:D18)=0,0,SUM(B18:D18)/'Sm Comm Cust Fcst'!P19)</f>
        <v>0</v>
      </c>
      <c r="F18" s="109">
        <f>'Sm Comm Cust Fcst'!$Q19*'Non-Residential TSM UC Adj'!F17</f>
        <v>0</v>
      </c>
      <c r="G18" s="23">
        <f>'Sm Comm Cust Fcst'!$Q19*'Non-Residential TSM UC Adj'!G17</f>
        <v>0</v>
      </c>
      <c r="H18" s="23">
        <f>'Sm Comm Cust Fcst'!$Q19*'Non-Residential TSM UC Adj'!H17</f>
        <v>0</v>
      </c>
      <c r="I18" s="41">
        <f>IF(SUM(F18:H18)=0,0,SUM(F18:H18)/'Sm Comm Cust Fcst'!Q19)</f>
        <v>0</v>
      </c>
      <c r="J18" s="109">
        <f>'Sm Comm Cust Fcst'!$R19*'Non-Residential TSM UC Adj'!J17</f>
        <v>0</v>
      </c>
      <c r="K18" s="23">
        <f>'Sm Comm Cust Fcst'!$R19*'Non-Residential TSM UC Adj'!K17</f>
        <v>0</v>
      </c>
      <c r="L18" s="23">
        <f>'Sm Comm Cust Fcst'!$R19*'Non-Residential TSM UC Adj'!L17</f>
        <v>0</v>
      </c>
      <c r="M18" s="41">
        <f>IF(SUM(J18:L18)=0,0,SUM(J18:L18)/'Sm Comm Cust Fcst'!R19)</f>
        <v>0</v>
      </c>
      <c r="N18" s="109">
        <f>'Sm Comm Cust Fcst'!$S19*'Non-Residential TSM UC Adj'!N17</f>
        <v>0</v>
      </c>
      <c r="O18" s="23">
        <f>'Sm Comm Cust Fcst'!$S19*'Non-Residential TSM UC Adj'!O17</f>
        <v>0</v>
      </c>
      <c r="P18" s="23">
        <f>'Sm Comm Cust Fcst'!$S19*'Non-Residential TSM UC Adj'!P17</f>
        <v>0</v>
      </c>
      <c r="Q18" s="23">
        <f>IF(SUM(N18:P18)=0,0,SUM(N18:P18)/'Sm Comm Cust Fcst'!S19)</f>
        <v>0</v>
      </c>
      <c r="R18" s="109">
        <f t="shared" si="1"/>
        <v>0</v>
      </c>
      <c r="S18" s="23">
        <f t="shared" si="0"/>
        <v>0</v>
      </c>
      <c r="T18" s="23">
        <f t="shared" si="0"/>
        <v>0</v>
      </c>
      <c r="U18" s="41">
        <f>IF(SUM(R18:T18)=0,0,SUM(R18:T18)/'Sm Comm Cust Fcst'!T19)</f>
        <v>0</v>
      </c>
    </row>
    <row r="19" spans="1:21">
      <c r="A19" s="126" t="s">
        <v>12</v>
      </c>
      <c r="B19" s="109">
        <f>'Sm Comm Cust Fcst'!$P20*'Non-Residential TSM UC Adj'!J18</f>
        <v>0</v>
      </c>
      <c r="C19" s="23">
        <f>'Sm Comm Cust Fcst'!$P20*'Non-Residential TSM UC Adj'!K18</f>
        <v>0</v>
      </c>
      <c r="D19" s="23">
        <f>'Sm Comm Cust Fcst'!$P20*'Non-Residential TSM UC Adj'!L18</f>
        <v>0</v>
      </c>
      <c r="E19" s="41">
        <f>IF(SUM(B19:D19)=0,0,SUM(B19:D19)/'Sm Comm Cust Fcst'!P20)</f>
        <v>0</v>
      </c>
      <c r="F19" s="109">
        <f>'Sm Comm Cust Fcst'!$Q20*'Non-Residential TSM UC Adj'!J18</f>
        <v>0</v>
      </c>
      <c r="G19" s="23">
        <f>'Sm Comm Cust Fcst'!$Q20*'Non-Residential TSM UC Adj'!K18</f>
        <v>0</v>
      </c>
      <c r="H19" s="23">
        <f>'Sm Comm Cust Fcst'!$Q20*'Non-Residential TSM UC Adj'!L18</f>
        <v>0</v>
      </c>
      <c r="I19" s="41">
        <f>IF(SUM(F19:H19)=0,0,SUM(F19:H19)/'Sm Comm Cust Fcst'!Q20)</f>
        <v>0</v>
      </c>
      <c r="J19" s="109">
        <f>'Sm Comm Cust Fcst'!$R20*'Non-Residential TSM UC Adj'!J18</f>
        <v>0</v>
      </c>
      <c r="K19" s="23">
        <f>'Sm Comm Cust Fcst'!$R20*'Non-Residential TSM UC Adj'!K18</f>
        <v>0</v>
      </c>
      <c r="L19" s="23">
        <f>'Sm Comm Cust Fcst'!$R20*'Non-Residential TSM UC Adj'!L18</f>
        <v>0</v>
      </c>
      <c r="M19" s="41">
        <f>IF(SUM(J19:L19)=0,0,SUM(J19:L19)/'Sm Comm Cust Fcst'!R20)</f>
        <v>0</v>
      </c>
      <c r="N19" s="109">
        <f>'Sm Comm Cust Fcst'!$S20*'Non-Residential TSM UC Adj'!N18</f>
        <v>0</v>
      </c>
      <c r="O19" s="23">
        <f>'Sm Comm Cust Fcst'!$S20*'Non-Residential TSM UC Adj'!O18</f>
        <v>0</v>
      </c>
      <c r="P19" s="23">
        <f>'Sm Comm Cust Fcst'!$S20*'Non-Residential TSM UC Adj'!P18</f>
        <v>0</v>
      </c>
      <c r="Q19" s="23">
        <f>IF(SUM(N19:P19)=0,0,SUM(N19:P19)/'Sm Comm Cust Fcst'!S20)</f>
        <v>0</v>
      </c>
      <c r="R19" s="109">
        <f t="shared" si="1"/>
        <v>0</v>
      </c>
      <c r="S19" s="23">
        <f t="shared" si="0"/>
        <v>0</v>
      </c>
      <c r="T19" s="23">
        <f t="shared" si="0"/>
        <v>0</v>
      </c>
      <c r="U19" s="41">
        <f>IF(SUM(R19:T19)=0,0,SUM(R19:T19)/'Sm Comm Cust Fcst'!T20)</f>
        <v>0</v>
      </c>
    </row>
    <row r="20" spans="1:21">
      <c r="A20" s="126" t="s">
        <v>13</v>
      </c>
      <c r="B20" s="109">
        <f>'Sm Comm Cust Fcst'!$P21*'Non-Residential TSM UC Adj'!J19</f>
        <v>0</v>
      </c>
      <c r="C20" s="23">
        <f>'Sm Comm Cust Fcst'!$P21*'Non-Residential TSM UC Adj'!K19</f>
        <v>0</v>
      </c>
      <c r="D20" s="23">
        <f>'Sm Comm Cust Fcst'!$P21*'Non-Residential TSM UC Adj'!L19</f>
        <v>0</v>
      </c>
      <c r="E20" s="41">
        <f>IF(SUM(B20:D20)=0,0,SUM(B20:D20)/'Sm Comm Cust Fcst'!P21)</f>
        <v>0</v>
      </c>
      <c r="F20" s="109">
        <f>'Sm Comm Cust Fcst'!$Q21*'Non-Residential TSM UC Adj'!J19</f>
        <v>0</v>
      </c>
      <c r="G20" s="23">
        <f>'Sm Comm Cust Fcst'!$Q21*'Non-Residential TSM UC Adj'!K19</f>
        <v>0</v>
      </c>
      <c r="H20" s="23">
        <f>'Sm Comm Cust Fcst'!$Q21*'Non-Residential TSM UC Adj'!L19</f>
        <v>0</v>
      </c>
      <c r="I20" s="41">
        <f>IF(SUM(F20:H20)=0,0,SUM(F20:H20)/'Sm Comm Cust Fcst'!Q21)</f>
        <v>0</v>
      </c>
      <c r="J20" s="109">
        <f>'Sm Comm Cust Fcst'!$R21*'Non-Residential TSM UC Adj'!J19</f>
        <v>0</v>
      </c>
      <c r="K20" s="23">
        <f>'Sm Comm Cust Fcst'!$R21*'Non-Residential TSM UC Adj'!K19</f>
        <v>0</v>
      </c>
      <c r="L20" s="23">
        <f>'Sm Comm Cust Fcst'!$R21*'Non-Residential TSM UC Adj'!L19</f>
        <v>0</v>
      </c>
      <c r="M20" s="41">
        <f>IF(SUM(J20:L20)=0,0,SUM(J20:L20)/'Sm Comm Cust Fcst'!R21)</f>
        <v>0</v>
      </c>
      <c r="N20" s="109">
        <f>'Sm Comm Cust Fcst'!$S21*'Non-Residential TSM UC Adj'!N19</f>
        <v>0</v>
      </c>
      <c r="O20" s="23">
        <f>'Sm Comm Cust Fcst'!$S21*'Non-Residential TSM UC Adj'!O19</f>
        <v>0</v>
      </c>
      <c r="P20" s="23">
        <f>'Sm Comm Cust Fcst'!$S21*'Non-Residential TSM UC Adj'!P19</f>
        <v>0</v>
      </c>
      <c r="Q20" s="23">
        <f>IF(SUM(N20:P20)=0,0,SUM(N20:P20)/'Sm Comm Cust Fcst'!S21)</f>
        <v>0</v>
      </c>
      <c r="R20" s="109">
        <f t="shared" si="1"/>
        <v>0</v>
      </c>
      <c r="S20" s="23">
        <f t="shared" si="0"/>
        <v>0</v>
      </c>
      <c r="T20" s="23">
        <f t="shared" si="0"/>
        <v>0</v>
      </c>
      <c r="U20" s="41">
        <f>IF(SUM(R20:T20)=0,0,SUM(R20:T20)/'Sm Comm Cust Fcst'!T21)</f>
        <v>0</v>
      </c>
    </row>
    <row r="21" spans="1:21">
      <c r="A21" s="126" t="s">
        <v>108</v>
      </c>
      <c r="B21" s="109">
        <f>'Sm Comm Cust Fcst'!$P22*'Non-Residential TSM UC Adj'!J20</f>
        <v>0</v>
      </c>
      <c r="C21" s="23">
        <f>'Sm Comm Cust Fcst'!$P22*'Non-Residential TSM UC Adj'!K20</f>
        <v>0</v>
      </c>
      <c r="D21" s="23">
        <f>'Sm Comm Cust Fcst'!$P22*'Non-Residential TSM UC Adj'!L20</f>
        <v>0</v>
      </c>
      <c r="E21" s="41">
        <f>IF(SUM(B21:D21)=0,0,SUM(B21:D21)/'Sm Comm Cust Fcst'!P22)</f>
        <v>0</v>
      </c>
      <c r="F21" s="109">
        <f>'Sm Comm Cust Fcst'!$Q22*'Non-Residential TSM UC Adj'!J20</f>
        <v>0</v>
      </c>
      <c r="G21" s="23">
        <f>'Sm Comm Cust Fcst'!$Q22*'Non-Residential TSM UC Adj'!K20</f>
        <v>0</v>
      </c>
      <c r="H21" s="23">
        <f>'Sm Comm Cust Fcst'!$Q22*'Non-Residential TSM UC Adj'!L20</f>
        <v>0</v>
      </c>
      <c r="I21" s="41">
        <f>IF(SUM(F21:H21)=0,0,SUM(F21:H21)/'Sm Comm Cust Fcst'!Q22)</f>
        <v>0</v>
      </c>
      <c r="J21" s="109">
        <f>'Sm Comm Cust Fcst'!$R22*'Non-Residential TSM UC Adj'!J20</f>
        <v>0</v>
      </c>
      <c r="K21" s="23">
        <f>'Sm Comm Cust Fcst'!$R22*'Non-Residential TSM UC Adj'!K20</f>
        <v>0</v>
      </c>
      <c r="L21" s="23">
        <f>'Sm Comm Cust Fcst'!$R22*'Non-Residential TSM UC Adj'!L20</f>
        <v>0</v>
      </c>
      <c r="M21" s="41">
        <f>IF(SUM(J21:L21)=0,0,SUM(J21:L21)/'Sm Comm Cust Fcst'!R22)</f>
        <v>0</v>
      </c>
      <c r="N21" s="109">
        <f>'Sm Comm Cust Fcst'!$S22*'Non-Residential TSM UC Adj'!N20</f>
        <v>0</v>
      </c>
      <c r="O21" s="23">
        <f>'Sm Comm Cust Fcst'!$S22*'Non-Residential TSM UC Adj'!O20</f>
        <v>0</v>
      </c>
      <c r="P21" s="23">
        <f>'Sm Comm Cust Fcst'!$S22*'Non-Residential TSM UC Adj'!P20</f>
        <v>0</v>
      </c>
      <c r="Q21" s="23">
        <f>IF(SUM(N21:P21)=0,0,SUM(N21:P21)/'Sm Comm Cust Fcst'!S22)</f>
        <v>0</v>
      </c>
      <c r="R21" s="109">
        <f t="shared" si="1"/>
        <v>0</v>
      </c>
      <c r="S21" s="23">
        <f t="shared" si="0"/>
        <v>0</v>
      </c>
      <c r="T21" s="23">
        <f t="shared" si="0"/>
        <v>0</v>
      </c>
      <c r="U21" s="41">
        <f>IF(SUM(R21:T21)=0,0,SUM(R21:T21)/'Sm Comm Cust Fcst'!T22)</f>
        <v>0</v>
      </c>
    </row>
    <row r="22" spans="1:21">
      <c r="A22" s="126" t="s">
        <v>109</v>
      </c>
      <c r="B22" s="109">
        <f>'Sm Comm Cust Fcst'!$P23*'Non-Residential TSM UC Adj'!J21</f>
        <v>0</v>
      </c>
      <c r="C22" s="23">
        <f>'Sm Comm Cust Fcst'!$P23*'Non-Residential TSM UC Adj'!K21</f>
        <v>0</v>
      </c>
      <c r="D22" s="23">
        <f>'Sm Comm Cust Fcst'!$P23*'Non-Residential TSM UC Adj'!L21</f>
        <v>0</v>
      </c>
      <c r="E22" s="41">
        <f>IF(SUM(B22:D22)=0,0,SUM(B22:D22)/'Sm Comm Cust Fcst'!P23)</f>
        <v>0</v>
      </c>
      <c r="F22" s="109">
        <f>'Sm Comm Cust Fcst'!$Q23*'Non-Residential TSM UC Adj'!J21</f>
        <v>0</v>
      </c>
      <c r="G22" s="23">
        <f>'Sm Comm Cust Fcst'!$Q23*'Non-Residential TSM UC Adj'!K21</f>
        <v>0</v>
      </c>
      <c r="H22" s="23">
        <f>'Sm Comm Cust Fcst'!$Q23*'Non-Residential TSM UC Adj'!L21</f>
        <v>0</v>
      </c>
      <c r="I22" s="41">
        <f>IF(SUM(F22:H22)=0,0,SUM(F22:H22)/'Sm Comm Cust Fcst'!Q23)</f>
        <v>0</v>
      </c>
      <c r="J22" s="109">
        <f>'Sm Comm Cust Fcst'!$R23*'Non-Residential TSM UC Adj'!J21</f>
        <v>0</v>
      </c>
      <c r="K22" s="23">
        <f>'Sm Comm Cust Fcst'!$R23*'Non-Residential TSM UC Adj'!K21</f>
        <v>0</v>
      </c>
      <c r="L22" s="23">
        <f>'Sm Comm Cust Fcst'!$R23*'Non-Residential TSM UC Adj'!L21</f>
        <v>0</v>
      </c>
      <c r="M22" s="41">
        <f>IF(SUM(J22:L22)=0,0,SUM(J22:L22)/'Sm Comm Cust Fcst'!R23)</f>
        <v>0</v>
      </c>
      <c r="N22" s="109">
        <f>'Sm Comm Cust Fcst'!$S23*'Non-Residential TSM UC Adj'!N21</f>
        <v>0</v>
      </c>
      <c r="O22" s="23">
        <f>'Sm Comm Cust Fcst'!$S23*'Non-Residential TSM UC Adj'!O21</f>
        <v>0</v>
      </c>
      <c r="P22" s="23">
        <f>'Sm Comm Cust Fcst'!$S23*'Non-Residential TSM UC Adj'!P21</f>
        <v>0</v>
      </c>
      <c r="Q22" s="23">
        <f>IF(SUM(N22:P22)=0,0,SUM(N22:P22)/'Sm Comm Cust Fcst'!S23)</f>
        <v>0</v>
      </c>
      <c r="R22" s="109">
        <f t="shared" si="1"/>
        <v>0</v>
      </c>
      <c r="S22" s="23">
        <f t="shared" si="0"/>
        <v>0</v>
      </c>
      <c r="T22" s="23">
        <f t="shared" si="0"/>
        <v>0</v>
      </c>
      <c r="U22" s="41">
        <f>IF(SUM(R22:T22)=0,0,SUM(R22:T22)/'Sm Comm Cust Fcst'!T23)</f>
        <v>0</v>
      </c>
    </row>
    <row r="23" spans="1:21">
      <c r="A23" s="124" t="s">
        <v>14</v>
      </c>
      <c r="B23" s="109">
        <f>'Sm Comm Cust Fcst'!$P24*'Non-Residential TSM UC Adj'!J22</f>
        <v>0</v>
      </c>
      <c r="C23" s="23">
        <f>'Sm Comm Cust Fcst'!$P24*'Non-Residential TSM UC Adj'!K22</f>
        <v>0</v>
      </c>
      <c r="D23" s="23">
        <f>'Sm Comm Cust Fcst'!$P24*'Non-Residential TSM UC Adj'!L22</f>
        <v>0</v>
      </c>
      <c r="E23" s="41">
        <f>IF(SUM(B23:D23)=0,0,SUM(B23:D23)/'Sm Comm Cust Fcst'!P24)</f>
        <v>0</v>
      </c>
      <c r="F23" s="109">
        <f>'Sm Comm Cust Fcst'!$Q24*'Non-Residential TSM UC Adj'!J22</f>
        <v>0</v>
      </c>
      <c r="G23" s="23">
        <f>'Sm Comm Cust Fcst'!$Q24*'Non-Residential TSM UC Adj'!K22</f>
        <v>0</v>
      </c>
      <c r="H23" s="23">
        <f>'Sm Comm Cust Fcst'!$Q24*'Non-Residential TSM UC Adj'!L22</f>
        <v>0</v>
      </c>
      <c r="I23" s="41">
        <f>IF(SUM(F23:H23)=0,0,SUM(F23:H23)/'Sm Comm Cust Fcst'!Q24)</f>
        <v>0</v>
      </c>
      <c r="J23" s="109">
        <f>'Sm Comm Cust Fcst'!$R24*'Non-Residential TSM UC Adj'!J22</f>
        <v>0</v>
      </c>
      <c r="K23" s="23">
        <f>'Sm Comm Cust Fcst'!$R24*'Non-Residential TSM UC Adj'!K22</f>
        <v>0</v>
      </c>
      <c r="L23" s="23">
        <f>'Sm Comm Cust Fcst'!$R24*'Non-Residential TSM UC Adj'!L22</f>
        <v>0</v>
      </c>
      <c r="M23" s="41">
        <f>IF(SUM(J23:L23)=0,0,SUM(J23:L23)/'Sm Comm Cust Fcst'!R24)</f>
        <v>0</v>
      </c>
      <c r="N23" s="109">
        <f>'Sm Comm Cust Fcst'!$S24*'Non-Residential TSM UC Adj'!N22</f>
        <v>0</v>
      </c>
      <c r="O23" s="23">
        <f>'Sm Comm Cust Fcst'!$S24*'Non-Residential TSM UC Adj'!O22</f>
        <v>0</v>
      </c>
      <c r="P23" s="23">
        <f>'Sm Comm Cust Fcst'!$S24*'Non-Residential TSM UC Adj'!P22</f>
        <v>0</v>
      </c>
      <c r="Q23" s="23">
        <f>IF(SUM(N23:P23)=0,0,SUM(N23:P23)/'Sm Comm Cust Fcst'!S24)</f>
        <v>0</v>
      </c>
      <c r="R23" s="109">
        <f t="shared" si="1"/>
        <v>0</v>
      </c>
      <c r="S23" s="23">
        <f t="shared" si="0"/>
        <v>0</v>
      </c>
      <c r="T23" s="23">
        <f t="shared" si="0"/>
        <v>0</v>
      </c>
      <c r="U23" s="41">
        <f>IF(SUM(R23:T23)=0,0,SUM(R23:T23)/'Sm Comm Cust Fcst'!T24)</f>
        <v>0</v>
      </c>
    </row>
    <row r="24" spans="1:21">
      <c r="A24" s="126" t="s">
        <v>15</v>
      </c>
      <c r="B24" s="109">
        <f>'Sm Comm Cust Fcst'!$P25*'Non-Residential TSM UC Adj'!J23</f>
        <v>0</v>
      </c>
      <c r="C24" s="23">
        <f>'Sm Comm Cust Fcst'!$P25*'Non-Residential TSM UC Adj'!K23</f>
        <v>0</v>
      </c>
      <c r="D24" s="23">
        <f>'Sm Comm Cust Fcst'!$P25*'Non-Residential TSM UC Adj'!L23</f>
        <v>0</v>
      </c>
      <c r="E24" s="41">
        <f>IF(SUM(B24:D24)=0,0,SUM(B24:D24)/'Sm Comm Cust Fcst'!P25)</f>
        <v>0</v>
      </c>
      <c r="F24" s="109">
        <f>'Sm Comm Cust Fcst'!$Q25*'Non-Residential TSM UC Adj'!J23</f>
        <v>0</v>
      </c>
      <c r="G24" s="23">
        <f>'Sm Comm Cust Fcst'!$Q25*'Non-Residential TSM UC Adj'!K23</f>
        <v>0</v>
      </c>
      <c r="H24" s="23">
        <f>'Sm Comm Cust Fcst'!$Q25*'Non-Residential TSM UC Adj'!L23</f>
        <v>0</v>
      </c>
      <c r="I24" s="41">
        <f>IF(SUM(F24:H24)=0,0,SUM(F24:H24)/'Sm Comm Cust Fcst'!Q25)</f>
        <v>0</v>
      </c>
      <c r="J24" s="109">
        <f>'Sm Comm Cust Fcst'!$R25*'Non-Residential TSM UC Adj'!J23</f>
        <v>0</v>
      </c>
      <c r="K24" s="23">
        <f>'Sm Comm Cust Fcst'!$R25*'Non-Residential TSM UC Adj'!K23</f>
        <v>0</v>
      </c>
      <c r="L24" s="23">
        <f>'Sm Comm Cust Fcst'!$R25*'Non-Residential TSM UC Adj'!L23</f>
        <v>0</v>
      </c>
      <c r="M24" s="41">
        <f>IF(SUM(J24:L24)=0,0,SUM(J24:L24)/'Sm Comm Cust Fcst'!R25)</f>
        <v>0</v>
      </c>
      <c r="N24" s="109">
        <f>'Sm Comm Cust Fcst'!$S25*'Non-Residential TSM UC Adj'!N23</f>
        <v>0</v>
      </c>
      <c r="O24" s="23">
        <f>'Sm Comm Cust Fcst'!$S25*'Non-Residential TSM UC Adj'!O23</f>
        <v>0</v>
      </c>
      <c r="P24" s="23">
        <f>'Sm Comm Cust Fcst'!$S25*'Non-Residential TSM UC Adj'!P23</f>
        <v>0</v>
      </c>
      <c r="Q24" s="23">
        <f>IF(SUM(N24:P24)=0,0,SUM(N24:P24)/'Sm Comm Cust Fcst'!S25)</f>
        <v>0</v>
      </c>
      <c r="R24" s="109">
        <f t="shared" si="1"/>
        <v>0</v>
      </c>
      <c r="S24" s="23">
        <f t="shared" si="1"/>
        <v>0</v>
      </c>
      <c r="T24" s="23">
        <f t="shared" si="1"/>
        <v>0</v>
      </c>
      <c r="U24" s="41">
        <f>IF(SUM(R24:T24)=0,0,SUM(R24:T24)/'Sm Comm Cust Fcst'!T25)</f>
        <v>0</v>
      </c>
    </row>
    <row r="25" spans="1:21">
      <c r="A25" s="126" t="s">
        <v>16</v>
      </c>
      <c r="B25" s="109">
        <f>'Sm Comm Cust Fcst'!$P26*'Non-Residential TSM UC Adj'!J24</f>
        <v>0</v>
      </c>
      <c r="C25" s="23">
        <f>'Sm Comm Cust Fcst'!$P26*'Non-Residential TSM UC Adj'!K24</f>
        <v>0</v>
      </c>
      <c r="D25" s="23">
        <f>'Sm Comm Cust Fcst'!$P26*'Non-Residential TSM UC Adj'!L24</f>
        <v>0</v>
      </c>
      <c r="E25" s="41">
        <f>IF(SUM(B25:D25)=0,0,SUM(B25:D25)/'Sm Comm Cust Fcst'!P26)</f>
        <v>0</v>
      </c>
      <c r="F25" s="109">
        <f>'Sm Comm Cust Fcst'!$Q26*'Non-Residential TSM UC Adj'!J24</f>
        <v>0</v>
      </c>
      <c r="G25" s="23">
        <f>'Sm Comm Cust Fcst'!$Q26*'Non-Residential TSM UC Adj'!K24</f>
        <v>0</v>
      </c>
      <c r="H25" s="23">
        <f>'Sm Comm Cust Fcst'!$Q26*'Non-Residential TSM UC Adj'!L24</f>
        <v>0</v>
      </c>
      <c r="I25" s="41">
        <f>IF(SUM(F25:H25)=0,0,SUM(F25:H25)/'Sm Comm Cust Fcst'!Q26)</f>
        <v>0</v>
      </c>
      <c r="J25" s="109">
        <f>'Sm Comm Cust Fcst'!$R26*'Non-Residential TSM UC Adj'!J24</f>
        <v>0</v>
      </c>
      <c r="K25" s="23">
        <f>'Sm Comm Cust Fcst'!$R26*'Non-Residential TSM UC Adj'!K24</f>
        <v>0</v>
      </c>
      <c r="L25" s="23">
        <f>'Sm Comm Cust Fcst'!$R26*'Non-Residential TSM UC Adj'!L24</f>
        <v>0</v>
      </c>
      <c r="M25" s="41">
        <f>IF(SUM(J25:L25)=0,0,SUM(J25:L25)/'Sm Comm Cust Fcst'!R26)</f>
        <v>0</v>
      </c>
      <c r="N25" s="109">
        <f>'Sm Comm Cust Fcst'!$S26*'Non-Residential TSM UC Adj'!N24</f>
        <v>0</v>
      </c>
      <c r="O25" s="23">
        <f>'Sm Comm Cust Fcst'!$S26*'Non-Residential TSM UC Adj'!O24</f>
        <v>0</v>
      </c>
      <c r="P25" s="23">
        <f>'Sm Comm Cust Fcst'!$S26*'Non-Residential TSM UC Adj'!P24</f>
        <v>0</v>
      </c>
      <c r="Q25" s="23">
        <f>IF(SUM(N25:P25)=0,0,SUM(N25:P25)/'Sm Comm Cust Fcst'!S26)</f>
        <v>0</v>
      </c>
      <c r="R25" s="109">
        <f t="shared" si="1"/>
        <v>0</v>
      </c>
      <c r="S25" s="23">
        <f t="shared" si="1"/>
        <v>0</v>
      </c>
      <c r="T25" s="23">
        <f t="shared" si="1"/>
        <v>0</v>
      </c>
      <c r="U25" s="41">
        <f>IF(SUM(R25:T25)=0,0,SUM(R25:T25)/'Sm Comm Cust Fcst'!T26)</f>
        <v>0</v>
      </c>
    </row>
    <row r="26" spans="1:21">
      <c r="A26" s="126" t="s">
        <v>17</v>
      </c>
      <c r="B26" s="109">
        <f>'Sm Comm Cust Fcst'!$P27*'Non-Residential TSM UC Adj'!J25</f>
        <v>0</v>
      </c>
      <c r="C26" s="23">
        <f>'Sm Comm Cust Fcst'!$P27*'Non-Residential TSM UC Adj'!K25</f>
        <v>0</v>
      </c>
      <c r="D26" s="23">
        <f>'Sm Comm Cust Fcst'!$P27*'Non-Residential TSM UC Adj'!L25</f>
        <v>0</v>
      </c>
      <c r="E26" s="41">
        <f>IF(SUM(B26:D26)=0,0,SUM(B26:D26)/'Sm Comm Cust Fcst'!P27)</f>
        <v>0</v>
      </c>
      <c r="F26" s="109">
        <f>'Sm Comm Cust Fcst'!$Q27*'Non-Residential TSM UC Adj'!J25</f>
        <v>0</v>
      </c>
      <c r="G26" s="23">
        <f>'Sm Comm Cust Fcst'!$Q27*'Non-Residential TSM UC Adj'!K25</f>
        <v>0</v>
      </c>
      <c r="H26" s="23">
        <f>'Sm Comm Cust Fcst'!$Q27*'Non-Residential TSM UC Adj'!L25</f>
        <v>0</v>
      </c>
      <c r="I26" s="41">
        <f>IF(SUM(F26:H26)=0,0,SUM(F26:H26)/'Sm Comm Cust Fcst'!Q27)</f>
        <v>0</v>
      </c>
      <c r="J26" s="109">
        <f>'Sm Comm Cust Fcst'!$R27*'Non-Residential TSM UC Adj'!J25</f>
        <v>0</v>
      </c>
      <c r="K26" s="23">
        <f>'Sm Comm Cust Fcst'!$R27*'Non-Residential TSM UC Adj'!K25</f>
        <v>0</v>
      </c>
      <c r="L26" s="23">
        <f>'Sm Comm Cust Fcst'!$R27*'Non-Residential TSM UC Adj'!L25</f>
        <v>0</v>
      </c>
      <c r="M26" s="41">
        <f>IF(SUM(J26:L26)=0,0,SUM(J26:L26)/'Sm Comm Cust Fcst'!R27)</f>
        <v>0</v>
      </c>
      <c r="N26" s="109">
        <f>'Sm Comm Cust Fcst'!$S27*'Non-Residential TSM UC Adj'!N25</f>
        <v>0</v>
      </c>
      <c r="O26" s="23">
        <f>'Sm Comm Cust Fcst'!$S27*'Non-Residential TSM UC Adj'!O25</f>
        <v>0</v>
      </c>
      <c r="P26" s="23">
        <f>'Sm Comm Cust Fcst'!$S27*'Non-Residential TSM UC Adj'!P25</f>
        <v>0</v>
      </c>
      <c r="Q26" s="23">
        <f>IF(SUM(N26:P26)=0,0,SUM(N26:P26)/'Sm Comm Cust Fcst'!S27)</f>
        <v>0</v>
      </c>
      <c r="R26" s="109">
        <f t="shared" si="1"/>
        <v>0</v>
      </c>
      <c r="S26" s="23">
        <f t="shared" si="1"/>
        <v>0</v>
      </c>
      <c r="T26" s="23">
        <f t="shared" si="1"/>
        <v>0</v>
      </c>
      <c r="U26" s="41">
        <f>IF(SUM(R26:T26)=0,0,SUM(R26:T26)/'Sm Comm Cust Fcst'!T27)</f>
        <v>0</v>
      </c>
    </row>
    <row r="27" spans="1:21">
      <c r="A27" s="126" t="s">
        <v>18</v>
      </c>
      <c r="B27" s="109">
        <f>'Sm Comm Cust Fcst'!$P28*'Non-Residential TSM UC Adj'!J26</f>
        <v>0</v>
      </c>
      <c r="C27" s="23">
        <f>'Sm Comm Cust Fcst'!$P28*'Non-Residential TSM UC Adj'!K26</f>
        <v>0</v>
      </c>
      <c r="D27" s="23">
        <f>'Sm Comm Cust Fcst'!$P28*'Non-Residential TSM UC Adj'!L26</f>
        <v>0</v>
      </c>
      <c r="E27" s="41">
        <f>IF(SUM(B27:D27)=0,0,SUM(B27:D27)/'Sm Comm Cust Fcst'!P28)</f>
        <v>0</v>
      </c>
      <c r="F27" s="109">
        <f>'Sm Comm Cust Fcst'!$Q28*'Non-Residential TSM UC Adj'!J26</f>
        <v>0</v>
      </c>
      <c r="G27" s="23">
        <f>'Sm Comm Cust Fcst'!$Q28*'Non-Residential TSM UC Adj'!K26</f>
        <v>0</v>
      </c>
      <c r="H27" s="23">
        <f>'Sm Comm Cust Fcst'!$Q28*'Non-Residential TSM UC Adj'!L26</f>
        <v>0</v>
      </c>
      <c r="I27" s="41">
        <f>IF(SUM(F27:H27)=0,0,SUM(F27:H27)/'Sm Comm Cust Fcst'!Q28)</f>
        <v>0</v>
      </c>
      <c r="J27" s="109">
        <f>'Sm Comm Cust Fcst'!$R28*'Non-Residential TSM UC Adj'!J26</f>
        <v>0</v>
      </c>
      <c r="K27" s="23">
        <f>'Sm Comm Cust Fcst'!$R28*'Non-Residential TSM UC Adj'!K26</f>
        <v>0</v>
      </c>
      <c r="L27" s="23">
        <f>'Sm Comm Cust Fcst'!$R28*'Non-Residential TSM UC Adj'!L26</f>
        <v>0</v>
      </c>
      <c r="M27" s="41">
        <f>IF(SUM(J27:L27)=0,0,SUM(J27:L27)/'Sm Comm Cust Fcst'!R28)</f>
        <v>0</v>
      </c>
      <c r="N27" s="109">
        <f>'Sm Comm Cust Fcst'!$S28*'Non-Residential TSM UC Adj'!N26</f>
        <v>0</v>
      </c>
      <c r="O27" s="23">
        <f>'Sm Comm Cust Fcst'!$S28*'Non-Residential TSM UC Adj'!O26</f>
        <v>0</v>
      </c>
      <c r="P27" s="23">
        <f>'Sm Comm Cust Fcst'!$S28*'Non-Residential TSM UC Adj'!P26</f>
        <v>0</v>
      </c>
      <c r="Q27" s="23">
        <f>IF(SUM(N27:P27)=0,0,SUM(N27:P27)/'Sm Comm Cust Fcst'!S28)</f>
        <v>0</v>
      </c>
      <c r="R27" s="109">
        <f t="shared" si="1"/>
        <v>0</v>
      </c>
      <c r="S27" s="23">
        <f t="shared" si="1"/>
        <v>0</v>
      </c>
      <c r="T27" s="23">
        <f t="shared" si="1"/>
        <v>0</v>
      </c>
      <c r="U27" s="41">
        <f>IF(SUM(R27:T27)=0,0,SUM(R27:T27)/'Sm Comm Cust Fcst'!T28)</f>
        <v>0</v>
      </c>
    </row>
    <row r="28" spans="1:21">
      <c r="A28" s="126" t="s">
        <v>19</v>
      </c>
      <c r="B28" s="109">
        <f>'Sm Comm Cust Fcst'!$P29*'Non-Residential TSM UC Adj'!J27</f>
        <v>0</v>
      </c>
      <c r="C28" s="23">
        <f>'Sm Comm Cust Fcst'!$P29*'Non-Residential TSM UC Adj'!K27</f>
        <v>0</v>
      </c>
      <c r="D28" s="23">
        <f>'Sm Comm Cust Fcst'!$P29*'Non-Residential TSM UC Adj'!L27</f>
        <v>0</v>
      </c>
      <c r="E28" s="41">
        <f>IF(SUM(B28:D28)=0,0,SUM(B28:D28)/'Sm Comm Cust Fcst'!P29)</f>
        <v>0</v>
      </c>
      <c r="F28" s="109">
        <f>'Sm Comm Cust Fcst'!$Q29*'Non-Residential TSM UC Adj'!J27</f>
        <v>0</v>
      </c>
      <c r="G28" s="23">
        <f>'Sm Comm Cust Fcst'!$Q29*'Non-Residential TSM UC Adj'!K27</f>
        <v>0</v>
      </c>
      <c r="H28" s="23">
        <f>'Sm Comm Cust Fcst'!$Q29*'Non-Residential TSM UC Adj'!L27</f>
        <v>0</v>
      </c>
      <c r="I28" s="41">
        <f>IF(SUM(F28:H28)=0,0,SUM(F28:H28)/'Sm Comm Cust Fcst'!Q29)</f>
        <v>0</v>
      </c>
      <c r="J28" s="109">
        <f>'Sm Comm Cust Fcst'!$R29*'Non-Residential TSM UC Adj'!J27</f>
        <v>0</v>
      </c>
      <c r="K28" s="23">
        <f>'Sm Comm Cust Fcst'!$R29*'Non-Residential TSM UC Adj'!K27</f>
        <v>0</v>
      </c>
      <c r="L28" s="23">
        <f>'Sm Comm Cust Fcst'!$R29*'Non-Residential TSM UC Adj'!L27</f>
        <v>0</v>
      </c>
      <c r="M28" s="41">
        <f>IF(SUM(J28:L28)=0,0,SUM(J28:L28)/'Sm Comm Cust Fcst'!R29)</f>
        <v>0</v>
      </c>
      <c r="N28" s="109">
        <f>'Sm Comm Cust Fcst'!$S29*'Non-Residential TSM UC Adj'!N27</f>
        <v>0</v>
      </c>
      <c r="O28" s="23">
        <f>'Sm Comm Cust Fcst'!$S29*'Non-Residential TSM UC Adj'!O27</f>
        <v>0</v>
      </c>
      <c r="P28" s="23">
        <f>'Sm Comm Cust Fcst'!$S29*'Non-Residential TSM UC Adj'!P27</f>
        <v>0</v>
      </c>
      <c r="Q28" s="23">
        <f>IF(SUM(N28:P28)=0,0,SUM(N28:P28)/'Sm Comm Cust Fcst'!S29)</f>
        <v>0</v>
      </c>
      <c r="R28" s="109">
        <f t="shared" si="1"/>
        <v>0</v>
      </c>
      <c r="S28" s="23">
        <f t="shared" si="1"/>
        <v>0</v>
      </c>
      <c r="T28" s="23">
        <f t="shared" si="1"/>
        <v>0</v>
      </c>
      <c r="U28" s="41">
        <f>IF(SUM(R28:T28)=0,0,SUM(R28:T28)/'Sm Comm Cust Fcst'!T29)</f>
        <v>0</v>
      </c>
    </row>
    <row r="29" spans="1:21">
      <c r="A29" s="126" t="s">
        <v>20</v>
      </c>
      <c r="B29" s="109">
        <f>'Sm Comm Cust Fcst'!$P30*'Non-Residential TSM UC Adj'!J28</f>
        <v>0</v>
      </c>
      <c r="C29" s="23">
        <f>'Sm Comm Cust Fcst'!$P30*'Non-Residential TSM UC Adj'!K28</f>
        <v>0</v>
      </c>
      <c r="D29" s="23">
        <f>'Sm Comm Cust Fcst'!$P30*'Non-Residential TSM UC Adj'!L28</f>
        <v>0</v>
      </c>
      <c r="E29" s="41">
        <f>IF(SUM(B29:D29)=0,0,SUM(B29:D29)/'Sm Comm Cust Fcst'!P30)</f>
        <v>0</v>
      </c>
      <c r="F29" s="109">
        <f>'Sm Comm Cust Fcst'!$Q30*'Non-Residential TSM UC Adj'!J28</f>
        <v>0</v>
      </c>
      <c r="G29" s="23">
        <f>'Sm Comm Cust Fcst'!$Q30*'Non-Residential TSM UC Adj'!K28</f>
        <v>0</v>
      </c>
      <c r="H29" s="23">
        <f>'Sm Comm Cust Fcst'!$Q30*'Non-Residential TSM UC Adj'!L28</f>
        <v>0</v>
      </c>
      <c r="I29" s="41">
        <f>IF(SUM(F29:H29)=0,0,SUM(F29:H29)/'Sm Comm Cust Fcst'!Q30)</f>
        <v>0</v>
      </c>
      <c r="J29" s="109">
        <f>'Sm Comm Cust Fcst'!$R30*'Non-Residential TSM UC Adj'!J28</f>
        <v>0</v>
      </c>
      <c r="K29" s="23">
        <f>'Sm Comm Cust Fcst'!$R30*'Non-Residential TSM UC Adj'!K28</f>
        <v>0</v>
      </c>
      <c r="L29" s="23">
        <f>'Sm Comm Cust Fcst'!$R30*'Non-Residential TSM UC Adj'!L28</f>
        <v>0</v>
      </c>
      <c r="M29" s="41">
        <f>IF(SUM(J29:L29)=0,0,SUM(J29:L29)/'Sm Comm Cust Fcst'!R30)</f>
        <v>0</v>
      </c>
      <c r="N29" s="109">
        <f>'Sm Comm Cust Fcst'!$S30*'Non-Residential TSM UC Adj'!N28</f>
        <v>0</v>
      </c>
      <c r="O29" s="23">
        <f>'Sm Comm Cust Fcst'!$S30*'Non-Residential TSM UC Adj'!O28</f>
        <v>0</v>
      </c>
      <c r="P29" s="23">
        <f>'Sm Comm Cust Fcst'!$S30*'Non-Residential TSM UC Adj'!P28</f>
        <v>0</v>
      </c>
      <c r="Q29" s="23">
        <f>IF(SUM(N29:P29)=0,0,SUM(N29:P29)/'Sm Comm Cust Fcst'!S30)</f>
        <v>0</v>
      </c>
      <c r="R29" s="109">
        <f t="shared" si="1"/>
        <v>0</v>
      </c>
      <c r="S29" s="23">
        <f t="shared" si="1"/>
        <v>0</v>
      </c>
      <c r="T29" s="23">
        <f t="shared" si="1"/>
        <v>0</v>
      </c>
      <c r="U29" s="41">
        <f>IF(SUM(R29:T29)=0,0,SUM(R29:T29)/'Sm Comm Cust Fcst'!T30)</f>
        <v>0</v>
      </c>
    </row>
    <row r="30" spans="1:21">
      <c r="A30" s="126" t="s">
        <v>21</v>
      </c>
      <c r="B30" s="109">
        <f>'Sm Comm Cust Fcst'!$P31*'Non-Residential TSM UC Adj'!J29</f>
        <v>0</v>
      </c>
      <c r="C30" s="23">
        <f>'Sm Comm Cust Fcst'!$P31*'Non-Residential TSM UC Adj'!K29</f>
        <v>0</v>
      </c>
      <c r="D30" s="23">
        <f>'Sm Comm Cust Fcst'!$P31*'Non-Residential TSM UC Adj'!L29</f>
        <v>0</v>
      </c>
      <c r="E30" s="41">
        <f>IF(SUM(B30:D30)=0,0,SUM(B30:D30)/'Sm Comm Cust Fcst'!P31)</f>
        <v>0</v>
      </c>
      <c r="F30" s="109">
        <f>'Sm Comm Cust Fcst'!$Q31*'Non-Residential TSM UC Adj'!J29</f>
        <v>0</v>
      </c>
      <c r="G30" s="23">
        <f>'Sm Comm Cust Fcst'!$Q31*'Non-Residential TSM UC Adj'!K29</f>
        <v>0</v>
      </c>
      <c r="H30" s="23">
        <f>'Sm Comm Cust Fcst'!$Q31*'Non-Residential TSM UC Adj'!L29</f>
        <v>0</v>
      </c>
      <c r="I30" s="41">
        <f>IF(SUM(F30:H30)=0,0,SUM(F30:H30)/'Sm Comm Cust Fcst'!Q31)</f>
        <v>0</v>
      </c>
      <c r="J30" s="109">
        <f>'Sm Comm Cust Fcst'!$R31*'Non-Residential TSM UC Adj'!J29</f>
        <v>0</v>
      </c>
      <c r="K30" s="23">
        <f>'Sm Comm Cust Fcst'!$R31*'Non-Residential TSM UC Adj'!K29</f>
        <v>0</v>
      </c>
      <c r="L30" s="23">
        <f>'Sm Comm Cust Fcst'!$R31*'Non-Residential TSM UC Adj'!L29</f>
        <v>0</v>
      </c>
      <c r="M30" s="41">
        <f>IF(SUM(J30:L30)=0,0,SUM(J30:L30)/'Sm Comm Cust Fcst'!R31)</f>
        <v>0</v>
      </c>
      <c r="N30" s="109">
        <f>'Sm Comm Cust Fcst'!$S31*'Non-Residential TSM UC Adj'!N29</f>
        <v>0</v>
      </c>
      <c r="O30" s="23">
        <f>'Sm Comm Cust Fcst'!$S31*'Non-Residential TSM UC Adj'!O29</f>
        <v>0</v>
      </c>
      <c r="P30" s="23">
        <f>'Sm Comm Cust Fcst'!$S31*'Non-Residential TSM UC Adj'!P29</f>
        <v>0</v>
      </c>
      <c r="Q30" s="23">
        <f>IF(SUM(N30:P30)=0,0,SUM(N30:P30)/'Sm Comm Cust Fcst'!S31)</f>
        <v>0</v>
      </c>
      <c r="R30" s="109">
        <f t="shared" si="1"/>
        <v>0</v>
      </c>
      <c r="S30" s="23">
        <f t="shared" si="1"/>
        <v>0</v>
      </c>
      <c r="T30" s="23">
        <f t="shared" si="1"/>
        <v>0</v>
      </c>
      <c r="U30" s="41">
        <f>IF(SUM(R30:T30)=0,0,SUM(R30:T30)/'Sm Comm Cust Fcst'!T31)</f>
        <v>0</v>
      </c>
    </row>
    <row r="31" spans="1:21">
      <c r="A31" s="126" t="s">
        <v>22</v>
      </c>
      <c r="B31" s="109">
        <f>'Sm Comm Cust Fcst'!$P32*'Non-Residential TSM UC Adj'!J30</f>
        <v>0</v>
      </c>
      <c r="C31" s="23">
        <f>'Sm Comm Cust Fcst'!$P32*'Non-Residential TSM UC Adj'!K30</f>
        <v>0</v>
      </c>
      <c r="D31" s="23">
        <f>'Sm Comm Cust Fcst'!$P32*'Non-Residential TSM UC Adj'!L30</f>
        <v>0</v>
      </c>
      <c r="E31" s="41">
        <f>IF(SUM(B31:D31)=0,0,SUM(B31:D31)/'Sm Comm Cust Fcst'!P32)</f>
        <v>0</v>
      </c>
      <c r="F31" s="109">
        <f>'Sm Comm Cust Fcst'!$Q32*'Non-Residential TSM UC Adj'!J30</f>
        <v>0</v>
      </c>
      <c r="G31" s="23">
        <f>'Sm Comm Cust Fcst'!$Q32*'Non-Residential TSM UC Adj'!K30</f>
        <v>0</v>
      </c>
      <c r="H31" s="23">
        <f>'Sm Comm Cust Fcst'!$Q32*'Non-Residential TSM UC Adj'!L30</f>
        <v>0</v>
      </c>
      <c r="I31" s="41">
        <f>IF(SUM(F31:H31)=0,0,SUM(F31:H31)/'Sm Comm Cust Fcst'!Q32)</f>
        <v>0</v>
      </c>
      <c r="J31" s="109">
        <f>'Sm Comm Cust Fcst'!$R32*'Non-Residential TSM UC Adj'!J30</f>
        <v>0</v>
      </c>
      <c r="K31" s="23">
        <f>'Sm Comm Cust Fcst'!$R32*'Non-Residential TSM UC Adj'!K30</f>
        <v>0</v>
      </c>
      <c r="L31" s="23">
        <f>'Sm Comm Cust Fcst'!$R32*'Non-Residential TSM UC Adj'!L30</f>
        <v>0</v>
      </c>
      <c r="M31" s="41">
        <f>IF(SUM(J31:L31)=0,0,SUM(J31:L31)/'Sm Comm Cust Fcst'!R32)</f>
        <v>0</v>
      </c>
      <c r="N31" s="109">
        <f>'Sm Comm Cust Fcst'!$S32*'Non-Residential TSM UC Adj'!N30</f>
        <v>0</v>
      </c>
      <c r="O31" s="23">
        <f>'Sm Comm Cust Fcst'!$S32*'Non-Residential TSM UC Adj'!O30</f>
        <v>0</v>
      </c>
      <c r="P31" s="23">
        <f>'Sm Comm Cust Fcst'!$S32*'Non-Residential TSM UC Adj'!P30</f>
        <v>0</v>
      </c>
      <c r="Q31" s="23">
        <f>IF(SUM(N31:P31)=0,0,SUM(N31:P31)/'Sm Comm Cust Fcst'!S32)</f>
        <v>0</v>
      </c>
      <c r="R31" s="109">
        <f t="shared" si="1"/>
        <v>0</v>
      </c>
      <c r="S31" s="23">
        <f t="shared" si="1"/>
        <v>0</v>
      </c>
      <c r="T31" s="23">
        <f t="shared" si="1"/>
        <v>0</v>
      </c>
      <c r="U31" s="41">
        <f>IF(SUM(R31:T31)=0,0,SUM(R31:T31)/'Sm Comm Cust Fcst'!T32)</f>
        <v>0</v>
      </c>
    </row>
    <row r="32" spans="1:21">
      <c r="A32" s="124" t="s">
        <v>23</v>
      </c>
      <c r="B32" s="109">
        <f>'Sm Comm Cust Fcst'!$P33*'Non-Residential TSM UC Adj'!J31</f>
        <v>0</v>
      </c>
      <c r="C32" s="23">
        <f>'Sm Comm Cust Fcst'!$P33*'Non-Residential TSM UC Adj'!K31</f>
        <v>0</v>
      </c>
      <c r="D32" s="23">
        <f>'Sm Comm Cust Fcst'!$P33*'Non-Residential TSM UC Adj'!L31</f>
        <v>0</v>
      </c>
      <c r="E32" s="41">
        <f>IF(SUM(B32:D32)=0,0,SUM(B32:D32)/'Sm Comm Cust Fcst'!P33)</f>
        <v>0</v>
      </c>
      <c r="F32" s="109">
        <f>'Sm Comm Cust Fcst'!$Q33*'Non-Residential TSM UC Adj'!J31</f>
        <v>0</v>
      </c>
      <c r="G32" s="23">
        <f>'Sm Comm Cust Fcst'!$Q33*'Non-Residential TSM UC Adj'!K31</f>
        <v>0</v>
      </c>
      <c r="H32" s="23">
        <f>'Sm Comm Cust Fcst'!$Q33*'Non-Residential TSM UC Adj'!L31</f>
        <v>0</v>
      </c>
      <c r="I32" s="41">
        <f>IF(SUM(F32:H32)=0,0,SUM(F32:H32)/'Sm Comm Cust Fcst'!Q33)</f>
        <v>0</v>
      </c>
      <c r="J32" s="109">
        <f>'Sm Comm Cust Fcst'!$R33*'Non-Residential TSM UC Adj'!J31</f>
        <v>0</v>
      </c>
      <c r="K32" s="23">
        <f>'Sm Comm Cust Fcst'!$R33*'Non-Residential TSM UC Adj'!K31</f>
        <v>0</v>
      </c>
      <c r="L32" s="23">
        <f>'Sm Comm Cust Fcst'!$R33*'Non-Residential TSM UC Adj'!L31</f>
        <v>0</v>
      </c>
      <c r="M32" s="41">
        <f>IF(SUM(J32:L32)=0,0,SUM(J32:L32)/'Sm Comm Cust Fcst'!R33)</f>
        <v>0</v>
      </c>
      <c r="N32" s="109">
        <f>'Sm Comm Cust Fcst'!$S33*'Non-Residential TSM UC Adj'!N31</f>
        <v>0</v>
      </c>
      <c r="O32" s="23">
        <f>'Sm Comm Cust Fcst'!$S33*'Non-Residential TSM UC Adj'!O31</f>
        <v>0</v>
      </c>
      <c r="P32" s="23">
        <f>'Sm Comm Cust Fcst'!$S33*'Non-Residential TSM UC Adj'!P31</f>
        <v>0</v>
      </c>
      <c r="Q32" s="23">
        <f>IF(SUM(N32:P32)=0,0,SUM(N32:P32)/'Sm Comm Cust Fcst'!S33)</f>
        <v>0</v>
      </c>
      <c r="R32" s="109">
        <f t="shared" si="1"/>
        <v>0</v>
      </c>
      <c r="S32" s="23">
        <f t="shared" si="1"/>
        <v>0</v>
      </c>
      <c r="T32" s="23">
        <f t="shared" si="1"/>
        <v>0</v>
      </c>
      <c r="U32" s="41">
        <f>IF(SUM(R32:T32)=0,0,SUM(R32:T32)/'Sm Comm Cust Fcst'!T33)</f>
        <v>0</v>
      </c>
    </row>
    <row r="33" spans="1:23">
      <c r="A33" s="124" t="s">
        <v>24</v>
      </c>
      <c r="B33" s="109">
        <f>'Sm Comm Cust Fcst'!$P34*'Non-Residential TSM UC Adj'!J32</f>
        <v>0</v>
      </c>
      <c r="C33" s="23">
        <f>'Sm Comm Cust Fcst'!$P34*'Non-Residential TSM UC Adj'!K32</f>
        <v>0</v>
      </c>
      <c r="D33" s="23">
        <f>'Sm Comm Cust Fcst'!$P34*'Non-Residential TSM UC Adj'!L32</f>
        <v>0</v>
      </c>
      <c r="E33" s="41">
        <f>IF(SUM(B33:D33)=0,0,SUM(B33:D33)/'Sm Comm Cust Fcst'!P34)</f>
        <v>0</v>
      </c>
      <c r="F33" s="109">
        <f>'Sm Comm Cust Fcst'!$Q34*'Non-Residential TSM UC Adj'!J32</f>
        <v>0</v>
      </c>
      <c r="G33" s="23">
        <f>'Sm Comm Cust Fcst'!$Q34*'Non-Residential TSM UC Adj'!K32</f>
        <v>0</v>
      </c>
      <c r="H33" s="23">
        <f>'Sm Comm Cust Fcst'!$Q34*'Non-Residential TSM UC Adj'!L32</f>
        <v>0</v>
      </c>
      <c r="I33" s="41">
        <f>IF(SUM(F33:H33)=0,0,SUM(F33:H33)/'Sm Comm Cust Fcst'!Q34)</f>
        <v>0</v>
      </c>
      <c r="J33" s="109">
        <f>'Sm Comm Cust Fcst'!$R34*'Non-Residential TSM UC Adj'!J32</f>
        <v>0</v>
      </c>
      <c r="K33" s="23">
        <f>'Sm Comm Cust Fcst'!$R34*'Non-Residential TSM UC Adj'!K32</f>
        <v>0</v>
      </c>
      <c r="L33" s="23">
        <f>'Sm Comm Cust Fcst'!$R34*'Non-Residential TSM UC Adj'!L32</f>
        <v>0</v>
      </c>
      <c r="M33" s="41">
        <f>IF(SUM(J33:L33)=0,0,SUM(J33:L33)/'Sm Comm Cust Fcst'!R34)</f>
        <v>0</v>
      </c>
      <c r="N33" s="109">
        <f>'Sm Comm Cust Fcst'!$S34*'Non-Residential TSM UC Adj'!N32</f>
        <v>0</v>
      </c>
      <c r="O33" s="23">
        <f>'Sm Comm Cust Fcst'!$S34*'Non-Residential TSM UC Adj'!O32</f>
        <v>0</v>
      </c>
      <c r="P33" s="23">
        <f>'Sm Comm Cust Fcst'!$S34*'Non-Residential TSM UC Adj'!P32</f>
        <v>0</v>
      </c>
      <c r="Q33" s="23">
        <f>IF(SUM(N33:P33)=0,0,SUM(N33:P33)/'Sm Comm Cust Fcst'!S34)</f>
        <v>0</v>
      </c>
      <c r="R33" s="109">
        <f t="shared" si="1"/>
        <v>0</v>
      </c>
      <c r="S33" s="23">
        <f t="shared" si="1"/>
        <v>0</v>
      </c>
      <c r="T33" s="23">
        <f t="shared" si="1"/>
        <v>0</v>
      </c>
      <c r="U33" s="41">
        <f>IF(SUM(R33:T33)=0,0,SUM(R33:T33)/'Sm Comm Cust Fcst'!T34)</f>
        <v>0</v>
      </c>
    </row>
    <row r="34" spans="1:23">
      <c r="A34" s="124" t="s">
        <v>25</v>
      </c>
      <c r="B34" s="109">
        <f>'Sm Comm Cust Fcst'!$P35*'Non-Residential TSM UC Adj'!J33</f>
        <v>0</v>
      </c>
      <c r="C34" s="23">
        <f>'Sm Comm Cust Fcst'!$P35*'Non-Residential TSM UC Adj'!K33</f>
        <v>0</v>
      </c>
      <c r="D34" s="23">
        <f>'Sm Comm Cust Fcst'!$P35*'Non-Residential TSM UC Adj'!L33</f>
        <v>0</v>
      </c>
      <c r="E34" s="41">
        <f>IF(SUM(B34:D34)=0,0,SUM(B34:D34)/'Sm Comm Cust Fcst'!P35)</f>
        <v>0</v>
      </c>
      <c r="F34" s="109">
        <f>'Sm Comm Cust Fcst'!$Q35*'Non-Residential TSM UC Adj'!J33</f>
        <v>0</v>
      </c>
      <c r="G34" s="23">
        <f>'Sm Comm Cust Fcst'!$Q35*'Non-Residential TSM UC Adj'!K33</f>
        <v>0</v>
      </c>
      <c r="H34" s="23">
        <f>'Sm Comm Cust Fcst'!$Q35*'Non-Residential TSM UC Adj'!L33</f>
        <v>0</v>
      </c>
      <c r="I34" s="41">
        <f>IF(SUM(F34:H34)=0,0,SUM(F34:H34)/'Sm Comm Cust Fcst'!Q35)</f>
        <v>0</v>
      </c>
      <c r="J34" s="109">
        <f>'Sm Comm Cust Fcst'!$R35*'Non-Residential TSM UC Adj'!J33</f>
        <v>0</v>
      </c>
      <c r="K34" s="23">
        <f>'Sm Comm Cust Fcst'!$R35*'Non-Residential TSM UC Adj'!K33</f>
        <v>0</v>
      </c>
      <c r="L34" s="23">
        <f>'Sm Comm Cust Fcst'!$R35*'Non-Residential TSM UC Adj'!L33</f>
        <v>0</v>
      </c>
      <c r="M34" s="41">
        <f>IF(SUM(J34:L34)=0,0,SUM(J34:L34)/'Sm Comm Cust Fcst'!R35)</f>
        <v>0</v>
      </c>
      <c r="N34" s="109">
        <f>'Sm Comm Cust Fcst'!$S35*'Non-Residential TSM UC Adj'!N33</f>
        <v>0</v>
      </c>
      <c r="O34" s="23">
        <f>'Sm Comm Cust Fcst'!$S35*'Non-Residential TSM UC Adj'!O33</f>
        <v>0</v>
      </c>
      <c r="P34" s="23">
        <f>'Sm Comm Cust Fcst'!$S35*'Non-Residential TSM UC Adj'!P33</f>
        <v>0</v>
      </c>
      <c r="Q34" s="23">
        <f>IF(SUM(N34:P34)=0,0,SUM(N34:P34)/'Sm Comm Cust Fcst'!S35)</f>
        <v>0</v>
      </c>
      <c r="R34" s="109">
        <f t="shared" si="1"/>
        <v>0</v>
      </c>
      <c r="S34" s="23">
        <f t="shared" si="1"/>
        <v>0</v>
      </c>
      <c r="T34" s="23">
        <f t="shared" si="1"/>
        <v>0</v>
      </c>
      <c r="U34" s="41">
        <f>IF(SUM(R34:T34)=0,0,SUM(R34:T34)/'Sm Comm Cust Fcst'!T35)</f>
        <v>0</v>
      </c>
    </row>
    <row r="35" spans="1:23">
      <c r="A35" s="124" t="s">
        <v>111</v>
      </c>
      <c r="B35" s="109">
        <f>'Sm Comm Cust Fcst'!$P36*'Non-Residential TSM UC Adj'!J34</f>
        <v>0</v>
      </c>
      <c r="C35" s="23">
        <f>'Sm Comm Cust Fcst'!$P36*'Non-Residential TSM UC Adj'!K34</f>
        <v>0</v>
      </c>
      <c r="D35" s="23">
        <f>'Sm Comm Cust Fcst'!$P36*'Non-Residential TSM UC Adj'!L34</f>
        <v>0</v>
      </c>
      <c r="E35" s="41">
        <f>IF(SUM(B35:D35)=0,0,SUM(B35:D35)/'Sm Comm Cust Fcst'!P36)</f>
        <v>0</v>
      </c>
      <c r="F35" s="109">
        <f>'Sm Comm Cust Fcst'!$Q36*'Non-Residential TSM UC Adj'!J34</f>
        <v>0</v>
      </c>
      <c r="G35" s="23">
        <f>'Sm Comm Cust Fcst'!$Q36*'Non-Residential TSM UC Adj'!K34</f>
        <v>0</v>
      </c>
      <c r="H35" s="23">
        <f>'Sm Comm Cust Fcst'!$Q36*'Non-Residential TSM UC Adj'!L34</f>
        <v>0</v>
      </c>
      <c r="I35" s="41">
        <f>IF(SUM(F35:H35)=0,0,SUM(F35:H35)/'Sm Comm Cust Fcst'!Q36)</f>
        <v>0</v>
      </c>
      <c r="J35" s="109">
        <f>'Sm Comm Cust Fcst'!$R36*'Non-Residential TSM UC Adj'!J34</f>
        <v>0</v>
      </c>
      <c r="K35" s="23">
        <f>'Sm Comm Cust Fcst'!$R36*'Non-Residential TSM UC Adj'!K34</f>
        <v>0</v>
      </c>
      <c r="L35" s="23">
        <f>'Sm Comm Cust Fcst'!$R36*'Non-Residential TSM UC Adj'!L34</f>
        <v>0</v>
      </c>
      <c r="M35" s="41">
        <f>IF(SUM(J35:L35)=0,0,SUM(J35:L35)/'Sm Comm Cust Fcst'!R36)</f>
        <v>0</v>
      </c>
      <c r="N35" s="109">
        <f>'Sm Comm Cust Fcst'!$S36*'Non-Residential TSM UC Adj'!N34</f>
        <v>0</v>
      </c>
      <c r="O35" s="23">
        <f>'Sm Comm Cust Fcst'!$S36*'Non-Residential TSM UC Adj'!O34</f>
        <v>0</v>
      </c>
      <c r="P35" s="23">
        <f>'Sm Comm Cust Fcst'!$S36*'Non-Residential TSM UC Adj'!P34</f>
        <v>0</v>
      </c>
      <c r="Q35" s="23">
        <f>IF(SUM(N35:P35)=0,0,SUM(N35:P35)/'Sm Comm Cust Fcst'!S36)</f>
        <v>0</v>
      </c>
      <c r="R35" s="109">
        <f t="shared" si="1"/>
        <v>0</v>
      </c>
      <c r="S35" s="23">
        <f t="shared" si="1"/>
        <v>0</v>
      </c>
      <c r="T35" s="23">
        <f t="shared" si="1"/>
        <v>0</v>
      </c>
      <c r="U35" s="41">
        <f>IF(SUM(R35:T35)=0,0,SUM(R35:T35)/'Sm Comm Cust Fcst'!T36)</f>
        <v>0</v>
      </c>
    </row>
    <row r="36" spans="1:23">
      <c r="A36" s="124" t="s">
        <v>112</v>
      </c>
      <c r="B36" s="109">
        <f>'Sm Comm Cust Fcst'!$P37*'Non-Residential TSM UC Adj'!J35</f>
        <v>0</v>
      </c>
      <c r="C36" s="23">
        <f>'Sm Comm Cust Fcst'!$P37*'Non-Residential TSM UC Adj'!K35</f>
        <v>0</v>
      </c>
      <c r="D36" s="23">
        <f>'Sm Comm Cust Fcst'!$P37*'Non-Residential TSM UC Adj'!L35</f>
        <v>0</v>
      </c>
      <c r="E36" s="41">
        <f>IF(SUM(B36:D36)=0,0,SUM(B36:D36)/'Sm Comm Cust Fcst'!P37)</f>
        <v>0</v>
      </c>
      <c r="F36" s="109">
        <f>'Sm Comm Cust Fcst'!$Q37*'Non-Residential TSM UC Adj'!J35</f>
        <v>0</v>
      </c>
      <c r="G36" s="23">
        <f>'Sm Comm Cust Fcst'!$Q37*'Non-Residential TSM UC Adj'!K35</f>
        <v>0</v>
      </c>
      <c r="H36" s="23">
        <f>'Sm Comm Cust Fcst'!$Q37*'Non-Residential TSM UC Adj'!L35</f>
        <v>0</v>
      </c>
      <c r="I36" s="41">
        <f>IF(SUM(F36:H36)=0,0,SUM(F36:H36)/'Sm Comm Cust Fcst'!Q37)</f>
        <v>0</v>
      </c>
      <c r="J36" s="109">
        <f>'Sm Comm Cust Fcst'!$R37*'Non-Residential TSM UC Adj'!J35</f>
        <v>0</v>
      </c>
      <c r="K36" s="23">
        <f>'Sm Comm Cust Fcst'!$R37*'Non-Residential TSM UC Adj'!K35</f>
        <v>0</v>
      </c>
      <c r="L36" s="23">
        <f>'Sm Comm Cust Fcst'!$R37*'Non-Residential TSM UC Adj'!L35</f>
        <v>0</v>
      </c>
      <c r="M36" s="41">
        <f>IF(SUM(J36:L36)=0,0,SUM(J36:L36)/'Sm Comm Cust Fcst'!R37)</f>
        <v>0</v>
      </c>
      <c r="N36" s="109">
        <f>'Sm Comm Cust Fcst'!$S37*'Non-Residential TSM UC Adj'!N35</f>
        <v>0</v>
      </c>
      <c r="O36" s="23">
        <f>'Sm Comm Cust Fcst'!$S37*'Non-Residential TSM UC Adj'!O35</f>
        <v>0</v>
      </c>
      <c r="P36" s="23">
        <f>'Sm Comm Cust Fcst'!$S37*'Non-Residential TSM UC Adj'!P35</f>
        <v>0</v>
      </c>
      <c r="Q36" s="23">
        <f>IF(SUM(N36:P36)=0,0,SUM(N36:P36)/'Sm Comm Cust Fcst'!S37)</f>
        <v>0</v>
      </c>
      <c r="R36" s="109">
        <f t="shared" si="1"/>
        <v>0</v>
      </c>
      <c r="S36" s="23">
        <f t="shared" si="1"/>
        <v>0</v>
      </c>
      <c r="T36" s="23">
        <f t="shared" si="1"/>
        <v>0</v>
      </c>
      <c r="U36" s="41">
        <f>IF(SUM(R36:T36)=0,0,SUM(R36:T36)/'Sm Comm Cust Fcst'!T37)</f>
        <v>0</v>
      </c>
    </row>
    <row r="37" spans="1:23">
      <c r="A37" s="126" t="s">
        <v>26</v>
      </c>
      <c r="B37" s="109">
        <f>'Sm Comm Cust Fcst'!$P38*'Non-Residential TSM UC Adj'!J36</f>
        <v>0</v>
      </c>
      <c r="C37" s="23">
        <f>'Sm Comm Cust Fcst'!$P38*'Non-Residential TSM UC Adj'!K36</f>
        <v>0</v>
      </c>
      <c r="D37" s="23">
        <f>'Sm Comm Cust Fcst'!$P38*'Non-Residential TSM UC Adj'!L36</f>
        <v>0</v>
      </c>
      <c r="E37" s="41">
        <f>IF(SUM(B37:D37)=0,0,SUM(B37:D37)/'Sm Comm Cust Fcst'!P38)</f>
        <v>0</v>
      </c>
      <c r="F37" s="109">
        <f>'Sm Comm Cust Fcst'!$Q38*'Non-Residential TSM UC Adj'!J36</f>
        <v>0</v>
      </c>
      <c r="G37" s="23">
        <f>'Sm Comm Cust Fcst'!$Q38*'Non-Residential TSM UC Adj'!K36</f>
        <v>0</v>
      </c>
      <c r="H37" s="23">
        <f>'Sm Comm Cust Fcst'!$Q38*'Non-Residential TSM UC Adj'!L36</f>
        <v>0</v>
      </c>
      <c r="I37" s="41">
        <f>IF(SUM(F37:H37)=0,0,SUM(F37:H37)/'Sm Comm Cust Fcst'!Q38)</f>
        <v>0</v>
      </c>
      <c r="J37" s="109">
        <f>'Sm Comm Cust Fcst'!$R38*'Non-Residential TSM UC Adj'!J36</f>
        <v>0</v>
      </c>
      <c r="K37" s="23">
        <f>'Sm Comm Cust Fcst'!$R38*'Non-Residential TSM UC Adj'!K36</f>
        <v>0</v>
      </c>
      <c r="L37" s="23">
        <f>'Sm Comm Cust Fcst'!$R38*'Non-Residential TSM UC Adj'!L36</f>
        <v>0</v>
      </c>
      <c r="M37" s="41">
        <f>IF(SUM(J37:L37)=0,0,SUM(J37:L37)/'Sm Comm Cust Fcst'!R38)</f>
        <v>0</v>
      </c>
      <c r="N37" s="109">
        <f>'Sm Comm Cust Fcst'!$S38*'Non-Residential TSM UC Adj'!N36</f>
        <v>0</v>
      </c>
      <c r="O37" s="23">
        <f>'Sm Comm Cust Fcst'!$S38*'Non-Residential TSM UC Adj'!O36</f>
        <v>0</v>
      </c>
      <c r="P37" s="23">
        <f>'Sm Comm Cust Fcst'!$S38*'Non-Residential TSM UC Adj'!P36</f>
        <v>0</v>
      </c>
      <c r="Q37" s="23">
        <f>IF(SUM(N37:P37)=0,0,SUM(N37:P37)/'Sm Comm Cust Fcst'!S38)</f>
        <v>0</v>
      </c>
      <c r="R37" s="109">
        <f t="shared" si="1"/>
        <v>0</v>
      </c>
      <c r="S37" s="23">
        <f t="shared" si="1"/>
        <v>0</v>
      </c>
      <c r="T37" s="23">
        <f t="shared" si="1"/>
        <v>0</v>
      </c>
      <c r="U37" s="41">
        <f>IF(SUM(R37:T37)=0,0,SUM(R37:T37)/'Sm Comm Cust Fcst'!T38)</f>
        <v>0</v>
      </c>
    </row>
    <row r="38" spans="1:23">
      <c r="A38" s="126" t="s">
        <v>27</v>
      </c>
      <c r="B38" s="109">
        <f>'Sm Comm Cust Fcst'!$P39*'Non-Residential TSM UC Adj'!J37</f>
        <v>0</v>
      </c>
      <c r="C38" s="23">
        <f>'Sm Comm Cust Fcst'!$P39*'Non-Residential TSM UC Adj'!K37</f>
        <v>0</v>
      </c>
      <c r="D38" s="23">
        <f>'Sm Comm Cust Fcst'!$P39*'Non-Residential TSM UC Adj'!L37</f>
        <v>0</v>
      </c>
      <c r="E38" s="41">
        <f>IF(SUM(B38:D38)=0,0,SUM(B38:D38)/'Sm Comm Cust Fcst'!P39)</f>
        <v>0</v>
      </c>
      <c r="F38" s="109">
        <f>'Sm Comm Cust Fcst'!$Q39*'Non-Residential TSM UC Adj'!J37</f>
        <v>0</v>
      </c>
      <c r="G38" s="23">
        <f>'Sm Comm Cust Fcst'!$Q39*'Non-Residential TSM UC Adj'!K37</f>
        <v>0</v>
      </c>
      <c r="H38" s="23">
        <f>'Sm Comm Cust Fcst'!$Q39*'Non-Residential TSM UC Adj'!L37</f>
        <v>0</v>
      </c>
      <c r="I38" s="41">
        <f>IF(SUM(F38:H38)=0,0,SUM(F38:H38)/'Sm Comm Cust Fcst'!Q39)</f>
        <v>0</v>
      </c>
      <c r="J38" s="109">
        <f>'Sm Comm Cust Fcst'!$R39*'Non-Residential TSM UC Adj'!J37</f>
        <v>0</v>
      </c>
      <c r="K38" s="23">
        <f>'Sm Comm Cust Fcst'!$R39*'Non-Residential TSM UC Adj'!K37</f>
        <v>0</v>
      </c>
      <c r="L38" s="23">
        <f>'Sm Comm Cust Fcst'!$R39*'Non-Residential TSM UC Adj'!L37</f>
        <v>0</v>
      </c>
      <c r="M38" s="41">
        <f>IF(SUM(J38:L38)=0,0,SUM(J38:L38)/'Sm Comm Cust Fcst'!R39)</f>
        <v>0</v>
      </c>
      <c r="N38" s="109">
        <f>'Sm Comm Cust Fcst'!$S39*'Non-Residential TSM UC Adj'!N37</f>
        <v>0</v>
      </c>
      <c r="O38" s="23">
        <f>'Sm Comm Cust Fcst'!$S39*'Non-Residential TSM UC Adj'!O37</f>
        <v>0</v>
      </c>
      <c r="P38" s="23">
        <f>'Sm Comm Cust Fcst'!$S39*'Non-Residential TSM UC Adj'!P37</f>
        <v>0</v>
      </c>
      <c r="Q38" s="23">
        <f>IF(SUM(N38:P38)=0,0,SUM(N38:P38)/'Sm Comm Cust Fcst'!S39)</f>
        <v>0</v>
      </c>
      <c r="R38" s="109">
        <f t="shared" si="1"/>
        <v>0</v>
      </c>
      <c r="S38" s="23">
        <f t="shared" si="1"/>
        <v>0</v>
      </c>
      <c r="T38" s="23">
        <f t="shared" si="1"/>
        <v>0</v>
      </c>
      <c r="U38" s="41">
        <f>IF(SUM(R38:T38)=0,0,SUM(R38:T38)/'Sm Comm Cust Fcst'!T39)</f>
        <v>0</v>
      </c>
    </row>
    <row r="39" spans="1:23" ht="13.5" thickBot="1">
      <c r="A39" s="118"/>
      <c r="B39" s="109"/>
      <c r="C39" s="23"/>
      <c r="D39" s="23"/>
      <c r="E39" s="41"/>
      <c r="F39" s="109"/>
      <c r="G39" s="23"/>
      <c r="H39" s="23"/>
      <c r="I39" s="41"/>
      <c r="J39" s="109"/>
      <c r="K39" s="23"/>
      <c r="L39" s="23"/>
      <c r="M39" s="41"/>
      <c r="N39" s="109"/>
      <c r="O39" s="23"/>
      <c r="P39" s="23"/>
      <c r="Q39" s="23"/>
      <c r="R39" s="109"/>
      <c r="S39" s="23"/>
      <c r="T39" s="23"/>
      <c r="U39" s="41"/>
    </row>
    <row r="40" spans="1:23" ht="13.5" thickBot="1">
      <c r="A40" s="181" t="s">
        <v>2</v>
      </c>
      <c r="B40" s="369">
        <f>IF(SUM(B7:B38)=0,0,SUM(B7:B38)/'Sm Comm Cust Fcst'!$P41)</f>
        <v>2182.7286417415198</v>
      </c>
      <c r="C40" s="372">
        <f>IF(SUM(C7:C38)=0,0,SUM(C7:C38)/'Sm Comm Cust Fcst'!$P41)</f>
        <v>172.82934577832256</v>
      </c>
      <c r="D40" s="372">
        <f>IF(SUM(D7:D38)=0,0,SUM(D7:D38)/'Sm Comm Cust Fcst'!$P41)</f>
        <v>231.00861885131383</v>
      </c>
      <c r="E40" s="372">
        <f>SUM(B40:D40)</f>
        <v>2586.566606371156</v>
      </c>
      <c r="F40" s="368">
        <f>IF(SUM(F7:F38)=0,0,SUM(F7:F38)/'Sm Comm Cust Fcst'!$Q41)</f>
        <v>0</v>
      </c>
      <c r="G40" s="371">
        <f>IF(SUM(G7:G38)=0,0,SUM(G7:G38)/'Sm Comm Cust Fcst'!$Q41)</f>
        <v>0</v>
      </c>
      <c r="H40" s="371">
        <f>IF(SUM(H7:H38)=0,0,SUM(H7:H38)/'Sm Comm Cust Fcst'!$Q41)</f>
        <v>0</v>
      </c>
      <c r="I40" s="373">
        <f>SUM(F40:H40)</f>
        <v>0</v>
      </c>
      <c r="J40" s="368">
        <f>IF(SUM(J7:J38)=0,0,SUM(J7:J38)/'Sm Comm Cust Fcst'!$R41)</f>
        <v>14844.294879568015</v>
      </c>
      <c r="K40" s="371">
        <f>IF(SUM(K7:K38)=0,0,SUM(K7:K38)/'Sm Comm Cust Fcst'!$R41)</f>
        <v>935.23510714228996</v>
      </c>
      <c r="L40" s="371">
        <f>IF(SUM(L7:L38)=0,0,SUM(L7:L38)/'Sm Comm Cust Fcst'!$R41)</f>
        <v>297.01685728884092</v>
      </c>
      <c r="M40" s="373">
        <f>SUM(J40:L40)</f>
        <v>16076.546843999147</v>
      </c>
      <c r="N40" s="368">
        <f>IF(SUM(N7:N38)=0,0,SUM(N7:N38)/'Sm Comm Cust Fcst'!$S41)</f>
        <v>0</v>
      </c>
      <c r="O40" s="371">
        <f>IF(SUM(O7:O38)=0,0,SUM(O7:O38)/'Sm Comm Cust Fcst'!$S41)</f>
        <v>0</v>
      </c>
      <c r="P40" s="371">
        <f>IF(SUM(P7:P38)=0,0,SUM(P7:P38)/'Sm Comm Cust Fcst'!$S41)</f>
        <v>0</v>
      </c>
      <c r="Q40" s="373">
        <f>SUM(N40:P40)</f>
        <v>0</v>
      </c>
      <c r="R40" s="368">
        <f>IF(SUM(R7:R38)=0,0,SUM(R7:R38)/'Sm Comm Cust Fcst'!$T41)</f>
        <v>8513.5117606547683</v>
      </c>
      <c r="S40" s="371">
        <f>IF(SUM(S7:S38)=0,0,SUM(S7:S38)/'Sm Comm Cust Fcst'!$T41)</f>
        <v>554.03222646030622</v>
      </c>
      <c r="T40" s="371">
        <f>IF(SUM(T7:T38)=0,0,SUM(T7:T38)/'Sm Comm Cust Fcst'!$T41)</f>
        <v>264.01273807007738</v>
      </c>
      <c r="U40" s="373">
        <f>SUM(R40:T40)</f>
        <v>9331.5567251851517</v>
      </c>
      <c r="W40" s="18"/>
    </row>
    <row r="41" spans="1:23">
      <c r="A41" s="121" t="s">
        <v>92</v>
      </c>
      <c r="B41" s="369">
        <f>IF(SUM(B7:B8)=0,0,SUM(B7:B8)/'Sm Comm Cust Fcst'!$P42)</f>
        <v>0</v>
      </c>
      <c r="C41" s="372">
        <f>IF(SUM(C7:C8)=0,0,SUM(C7:C8)/'Sm Comm Cust Fcst'!$P42)</f>
        <v>0</v>
      </c>
      <c r="D41" s="372">
        <f>IF(SUM(D7:D8)=0,0,SUM(D7:D8)/'Sm Comm Cust Fcst'!$P42)</f>
        <v>0</v>
      </c>
      <c r="E41" s="372">
        <f>SUM(B41:D41)</f>
        <v>0</v>
      </c>
      <c r="F41" s="291">
        <f>IF(SUM(F7:F8)=0,0,SUM(F7:F8)/'Sm Comm Cust Fcst'!$Q42)</f>
        <v>0</v>
      </c>
      <c r="G41" s="83">
        <f>IF(SUM(G7:G8)=0,0,SUM(G7:G8)/'Sm Comm Cust Fcst'!$Q42)</f>
        <v>0</v>
      </c>
      <c r="H41" s="83">
        <f>IF(SUM(H7:H8)=0,0,SUM(H7:H8)/'Sm Comm Cust Fcst'!$Q42)</f>
        <v>0</v>
      </c>
      <c r="I41" s="292">
        <f>SUM(F41:H41)</f>
        <v>0</v>
      </c>
      <c r="J41" s="291">
        <f>IF(SUM(J7:J8)=0,0,SUM(J7:J8)/'Sm Comm Cust Fcst'!$R42)</f>
        <v>0</v>
      </c>
      <c r="K41" s="83">
        <f>IF(SUM(K7:K8)=0,0,SUM(K7:K8)/'Sm Comm Cust Fcst'!$R42)</f>
        <v>0</v>
      </c>
      <c r="L41" s="83">
        <f>IF(SUM(L7:L8)=0,0,SUM(L7:L8)/'Sm Comm Cust Fcst'!$R42)</f>
        <v>0</v>
      </c>
      <c r="M41" s="292">
        <f>SUM(J41:L41)</f>
        <v>0</v>
      </c>
      <c r="N41" s="291">
        <f>IF(SUM(N7:N8)=0,0,SUM(N7:N8)/'Sm Comm Cust Fcst'!$S42)</f>
        <v>0</v>
      </c>
      <c r="O41" s="83">
        <f>IF(SUM(O7:O8)=0,0,SUM(O7:O8)/'Sm Comm Cust Fcst'!$S42)</f>
        <v>0</v>
      </c>
      <c r="P41" s="83">
        <f>IF(SUM(P7:P8)=0,0,SUM(P7:P8)/'Sm Comm Cust Fcst'!$S42)</f>
        <v>0</v>
      </c>
      <c r="Q41" s="292">
        <f>SUM(N41:P41)</f>
        <v>0</v>
      </c>
      <c r="R41" s="83">
        <f>IF(SUM(R7:R8)=0,0,SUM(R7:R8)/'Sm Comm Cust Fcst'!$T42)</f>
        <v>0</v>
      </c>
      <c r="S41" s="83">
        <f>IF(SUM(S7:S8)=0,0,SUM(S7:S8)/'Sm Comm Cust Fcst'!$T42)</f>
        <v>0</v>
      </c>
      <c r="T41" s="83">
        <f>IF(SUM(T7:T8)=0,0,SUM(T7:T8)/'Sm Comm Cust Fcst'!$T42)</f>
        <v>0</v>
      </c>
      <c r="U41" s="292">
        <f>SUM(R41:T41)</f>
        <v>0</v>
      </c>
    </row>
    <row r="42" spans="1:23">
      <c r="A42" s="21" t="s">
        <v>114</v>
      </c>
      <c r="B42" s="291">
        <f>IF(SUM(B9:B11)=0,0,SUM(B9:B11)/'Sm Comm Cust Fcst'!$P43)</f>
        <v>0</v>
      </c>
      <c r="C42" s="83">
        <f>IF(SUM(C9:C11)=0,0,SUM(C9:C11)/'Sm Comm Cust Fcst'!$P43)</f>
        <v>0</v>
      </c>
      <c r="D42" s="83">
        <f>IF(SUM(D9:D11)=0,0,SUM(D9:D11)/'Sm Comm Cust Fcst'!$P43)</f>
        <v>0</v>
      </c>
      <c r="E42" s="83">
        <f>SUM(B42:D42)</f>
        <v>0</v>
      </c>
      <c r="F42" s="291">
        <f>IF(SUM(F9:F11)=0,0,SUM(F9:F11)/'Sm Comm Cust Fcst'!$Q43)</f>
        <v>0</v>
      </c>
      <c r="G42" s="83">
        <f>IF(SUM(G9:G11)=0,0,SUM(G9:G11)/'Sm Comm Cust Fcst'!$Q43)</f>
        <v>0</v>
      </c>
      <c r="H42" s="83">
        <f>IF(SUM(H9:H11)=0,0,SUM(H9:H11)/'Sm Comm Cust Fcst'!$Q43)</f>
        <v>0</v>
      </c>
      <c r="I42" s="292">
        <f>SUM(F42:H42)</f>
        <v>0</v>
      </c>
      <c r="J42" s="291">
        <f>IF(SUM(J9:J11)=0,0,SUM(J9:J11)/'Sm Comm Cust Fcst'!$R43)</f>
        <v>0</v>
      </c>
      <c r="K42" s="83">
        <f>IF(SUM(K9:K11)=0,0,SUM(K9:K11)/'Sm Comm Cust Fcst'!$R43)</f>
        <v>0</v>
      </c>
      <c r="L42" s="83">
        <f>IF(SUM(L9:L11)=0,0,SUM(L9:L11)/'Sm Comm Cust Fcst'!$R43)</f>
        <v>0</v>
      </c>
      <c r="M42" s="292">
        <f>SUM(J42:L42)</f>
        <v>0</v>
      </c>
      <c r="N42" s="291">
        <f>IF(SUM(N9:N11)=0,0,SUM(N9:N11)/'Sm Comm Cust Fcst'!$S43)</f>
        <v>0</v>
      </c>
      <c r="O42" s="83">
        <f>IF(SUM(O9:O11)=0,0,SUM(O9:O11)/'Sm Comm Cust Fcst'!$S43)</f>
        <v>0</v>
      </c>
      <c r="P42" s="83">
        <f>IF(SUM(P9:P11)=0,0,SUM(P9:P11)/'Sm Comm Cust Fcst'!$S43)</f>
        <v>0</v>
      </c>
      <c r="Q42" s="292">
        <f>SUM(N42:P42)</f>
        <v>0</v>
      </c>
      <c r="R42" s="83">
        <f>IF(SUM(R9:R11)=0,0,SUM(R9:R11)/'Sm Comm Cust Fcst'!$T43)</f>
        <v>0</v>
      </c>
      <c r="S42" s="83">
        <f>IF(SUM(S9:S11)=0,0,SUM(S9:S11)/'Sm Comm Cust Fcst'!$T43)</f>
        <v>0</v>
      </c>
      <c r="T42" s="83">
        <f>IF(SUM(T9:T11)=0,0,SUM(T9:T11)/'Sm Comm Cust Fcst'!$T43)</f>
        <v>0</v>
      </c>
      <c r="U42" s="292">
        <f>SUM(R42:T42)</f>
        <v>0</v>
      </c>
    </row>
    <row r="43" spans="1:23">
      <c r="A43" s="21" t="s">
        <v>115</v>
      </c>
      <c r="B43" s="291">
        <f>IF(SUM(B12:B13)=0,0,SUM(B12:B13)/'Sm Comm Cust Fcst'!$P44)</f>
        <v>2182.7286417415198</v>
      </c>
      <c r="C43" s="83">
        <f>IF(SUM(C12:C13)=0,0,SUM(C12:C13)/'Sm Comm Cust Fcst'!$P44)</f>
        <v>172.82934577832256</v>
      </c>
      <c r="D43" s="83">
        <f>IF(SUM(D12:D13)=0,0,SUM(D12:D13)/'Sm Comm Cust Fcst'!$P44)</f>
        <v>231.00861885131383</v>
      </c>
      <c r="E43" s="83">
        <f>SUM(B43:D43)</f>
        <v>2586.566606371156</v>
      </c>
      <c r="F43" s="291">
        <f>IF(SUM(F12:F13)=0,0,SUM(F12:F13)/'Sm Comm Cust Fcst'!$Q44)</f>
        <v>0</v>
      </c>
      <c r="G43" s="83">
        <f>IF(SUM(G12:G13)=0,0,SUM(G12:G13)/'Sm Comm Cust Fcst'!$Q44)</f>
        <v>0</v>
      </c>
      <c r="H43" s="83">
        <f>IF(SUM(H12:H13)=0,0,SUM(H12:H13)/'Sm Comm Cust Fcst'!$Q44)</f>
        <v>0</v>
      </c>
      <c r="I43" s="292">
        <f>SUM(F43:H43)</f>
        <v>0</v>
      </c>
      <c r="J43" s="291">
        <f>IF(SUM(J12:J13)=0,0,SUM(J12:J13)/'Sm Comm Cust Fcst'!$R44)</f>
        <v>14844.294879568015</v>
      </c>
      <c r="K43" s="83">
        <f>IF(SUM(K12:K13)=0,0,SUM(K12:K13)/'Sm Comm Cust Fcst'!$R44)</f>
        <v>935.23510714228996</v>
      </c>
      <c r="L43" s="83">
        <f>IF(SUM(L12:L13)=0,0,SUM(L12:L13)/'Sm Comm Cust Fcst'!$R44)</f>
        <v>297.01685728884092</v>
      </c>
      <c r="M43" s="292">
        <f>SUM(J43:L43)</f>
        <v>16076.546843999147</v>
      </c>
      <c r="N43" s="291">
        <f>IF(SUM(N12:N13)=0,0,SUM(N12:N13)/'Sm Comm Cust Fcst'!$S44)</f>
        <v>0</v>
      </c>
      <c r="O43" s="83">
        <f>IF(SUM(O12:O13)=0,0,SUM(O12:O13)/'Sm Comm Cust Fcst'!$S44)</f>
        <v>0</v>
      </c>
      <c r="P43" s="83">
        <f>IF(SUM(P12:P13)=0,0,SUM(P12:P13)/'Sm Comm Cust Fcst'!$S44)</f>
        <v>0</v>
      </c>
      <c r="Q43" s="292">
        <f>SUM(N43:P43)</f>
        <v>0</v>
      </c>
      <c r="R43" s="83">
        <f>IF(SUM(R12:R13)=0,0,SUM(R12:R13)/'Sm Comm Cust Fcst'!$T44)</f>
        <v>8513.5117606547683</v>
      </c>
      <c r="S43" s="83">
        <f>IF(SUM(S12:S13)=0,0,SUM(S12:S13)/'Sm Comm Cust Fcst'!$T44)</f>
        <v>554.03222646030622</v>
      </c>
      <c r="T43" s="83">
        <f>IF(SUM(T12:T13)=0,0,SUM(T12:T13)/'Sm Comm Cust Fcst'!$T44)</f>
        <v>264.01273807007738</v>
      </c>
      <c r="U43" s="292">
        <f>SUM(R43:T43)</f>
        <v>9331.5567251851517</v>
      </c>
    </row>
    <row r="44" spans="1:23" ht="13.5" thickBot="1">
      <c r="A44" s="247" t="s">
        <v>116</v>
      </c>
      <c r="B44" s="370">
        <f>IF(SUM(B14:B38)=0,0,SUM(B14:B38)/'Sm Comm Cust Fcst'!$P45)</f>
        <v>0</v>
      </c>
      <c r="C44" s="306">
        <f>IF(SUM(C14:C38)=0,0,SUM(C14:C38)/'Sm Comm Cust Fcst'!$P45)</f>
        <v>0</v>
      </c>
      <c r="D44" s="306">
        <f>IF(SUM(D14:D38)=0,0,SUM(D14:D38)/'Sm Comm Cust Fcst'!$P45)</f>
        <v>0</v>
      </c>
      <c r="E44" s="306">
        <f>SUM(B44:D44)</f>
        <v>0</v>
      </c>
      <c r="F44" s="370">
        <f>IF(SUM(F14:F38)=0,0,SUM(F14:F38)/'Sm Comm Cust Fcst'!$Q45)</f>
        <v>0</v>
      </c>
      <c r="G44" s="306">
        <f>IF(SUM(G14:G38)=0,0,SUM(G14:G38)/'Sm Comm Cust Fcst'!$Q45)</f>
        <v>0</v>
      </c>
      <c r="H44" s="306">
        <f>IF(SUM(H14:H38)=0,0,SUM(H14:H38)/'Sm Comm Cust Fcst'!$Q45)</f>
        <v>0</v>
      </c>
      <c r="I44" s="375">
        <f>SUM(F44:H44)</f>
        <v>0</v>
      </c>
      <c r="J44" s="370">
        <f>IF(SUM(J14:J38)=0,0,SUM(J14:J38)/'Sm Comm Cust Fcst'!$R45)</f>
        <v>0</v>
      </c>
      <c r="K44" s="306">
        <f>IF(SUM(K14:K38)=0,0,SUM(K14:K38)/'Sm Comm Cust Fcst'!$R45)</f>
        <v>0</v>
      </c>
      <c r="L44" s="306">
        <f>IF(SUM(L14:L38)=0,0,SUM(L14:L38)/'Sm Comm Cust Fcst'!$R45)</f>
        <v>0</v>
      </c>
      <c r="M44" s="375">
        <f>SUM(J44:L44)</f>
        <v>0</v>
      </c>
      <c r="N44" s="370">
        <f>IF(SUM(N14:N38)=0,0,SUM(N14:N38)/'Sm Comm Cust Fcst'!$S45)</f>
        <v>0</v>
      </c>
      <c r="O44" s="306">
        <f>IF(SUM(O14:O38)=0,0,SUM(O14:O38)/'Sm Comm Cust Fcst'!$S45)</f>
        <v>0</v>
      </c>
      <c r="P44" s="306">
        <f>IF(SUM(P14:P38)=0,0,SUM(P14:P38)/'Sm Comm Cust Fcst'!$S45)</f>
        <v>0</v>
      </c>
      <c r="Q44" s="375">
        <f>SUM(N44:P44)</f>
        <v>0</v>
      </c>
      <c r="R44" s="306">
        <f>IF(SUM(R14:R38)=0,0,SUM(R14:R38)/'Sm Comm Cust Fcst'!$T45)</f>
        <v>0</v>
      </c>
      <c r="S44" s="306">
        <f>IF(SUM(S14:S38)=0,0,SUM(S14:S38)/'Sm Comm Cust Fcst'!$T45)</f>
        <v>0</v>
      </c>
      <c r="T44" s="306">
        <f>IF(SUM(T14:T38)=0,0,SUM(T14:T38)/'Sm Comm Cust Fcst'!$T45)</f>
        <v>0</v>
      </c>
      <c r="U44" s="375">
        <f>SUM(R44:T44)</f>
        <v>0</v>
      </c>
    </row>
    <row r="45" spans="1:23">
      <c r="A45" s="49"/>
      <c r="C45" s="12"/>
      <c r="D45" s="12"/>
      <c r="G45" s="12"/>
      <c r="H45" s="12"/>
      <c r="K45" s="12"/>
      <c r="L45" s="12"/>
      <c r="O45" s="12"/>
      <c r="P45" s="12"/>
      <c r="S45" s="12"/>
      <c r="T45" s="12"/>
    </row>
    <row r="46" spans="1:23">
      <c r="A46" s="264" t="s">
        <v>91</v>
      </c>
      <c r="B46" s="18"/>
      <c r="C46" s="18"/>
      <c r="D46" s="18"/>
      <c r="E46" s="82">
        <f>IF(SUM(B7:D38)=0,0,SUM(B7:D38)/'Sm Comm Cust Fcst'!$P41)-E40</f>
        <v>0</v>
      </c>
      <c r="F46" s="18"/>
      <c r="G46" s="18"/>
      <c r="H46" s="18"/>
      <c r="I46" s="82">
        <f>IF(SUM(F7:H38)=0,0,SUM(F7:H38)/'Sm Comm Cust Fcst'!$Q41)-I40</f>
        <v>0</v>
      </c>
      <c r="J46" s="18"/>
      <c r="K46" s="18"/>
      <c r="L46" s="18"/>
      <c r="M46" s="82">
        <f>IF(SUM(J7:L38)=0,0,SUM(J7:L38)/'Sm Comm Cust Fcst'!$R41)-M40</f>
        <v>0</v>
      </c>
      <c r="N46" s="18"/>
      <c r="O46" s="18"/>
      <c r="P46" s="18"/>
      <c r="Q46" s="82">
        <f>IF(SUM(N7:P38)=0,0,SUM(N7:P38)/'Sm Comm Cust Fcst'!$S41)-Q40</f>
        <v>0</v>
      </c>
      <c r="R46" s="18"/>
      <c r="S46" s="18"/>
      <c r="T46" s="18"/>
      <c r="U46" s="82">
        <f>IF(SUM(R7:T38)=0,0,SUM(R7:T38)/'Sm Comm Cust Fcst'!$T41)-U40</f>
        <v>0</v>
      </c>
    </row>
    <row r="47" spans="1:23">
      <c r="E47" s="82">
        <f>IF(SUM(B7:D8)=0,0,SUM(B7:D8)/'Sm Comm Cust Fcst'!$P42)-E41</f>
        <v>0</v>
      </c>
      <c r="I47" s="82">
        <f>IF(SUM(F7:H8)=0,0,SUM(F7:H8)/'Sm Comm Cust Fcst'!$Q42)-I41</f>
        <v>0</v>
      </c>
      <c r="M47" s="82">
        <f>IF(SUM(J7:L8)=0,0,SUM(J7:L8)/'Sm Comm Cust Fcst'!$R42)-M41</f>
        <v>0</v>
      </c>
      <c r="Q47" s="82">
        <f>IF(SUM(N7:P8)=0,0,SUM(N7:P8)/'Sm Comm Cust Fcst'!$S42)-Q41</f>
        <v>0</v>
      </c>
      <c r="U47" s="82">
        <f>IF(SUM(R7:T8)=0,0,SUM(R7:T8)/'Sm Comm Cust Fcst'!$T42)-U41</f>
        <v>0</v>
      </c>
    </row>
    <row r="48" spans="1:23">
      <c r="E48" s="82">
        <f>IF(SUM(B9:D11)=0,0,SUM(B9:D11)/'Sm Comm Cust Fcst'!$P43)-E42</f>
        <v>0</v>
      </c>
      <c r="I48" s="82">
        <f>IF(SUM(F9:H11)=0,0,SUM(F9:H11)/'Sm Comm Cust Fcst'!$Q43)-I42</f>
        <v>0</v>
      </c>
      <c r="M48" s="82">
        <f>IF(SUM(J9:L11)=0,0,SUM(J9:L11)/'Sm Comm Cust Fcst'!$R43)-M42</f>
        <v>0</v>
      </c>
      <c r="Q48" s="82">
        <f>IF(SUM(N9:P11)=0,0,SUM(N9:P11)/'Sm Comm Cust Fcst'!$S43)-Q42</f>
        <v>0</v>
      </c>
      <c r="U48" s="82">
        <f>IF(SUM(R9:T11)=0,0,SUM(R9:T11)/'Sm Comm Cust Fcst'!$T43)-U42</f>
        <v>0</v>
      </c>
    </row>
    <row r="49" spans="1:21">
      <c r="E49" s="82">
        <f>IF(SUM(B12:D13)=0,0,SUM(B12:D13)/'Sm Comm Cust Fcst'!$P44)-E43</f>
        <v>0</v>
      </c>
      <c r="I49" s="82">
        <f>IF(SUM(F12:H13)=0,0,SUM(F12:H13)/'Sm Comm Cust Fcst'!$Q44)-I43</f>
        <v>0</v>
      </c>
      <c r="M49" s="82">
        <f>IF(SUM(J12:L13)=0,0,SUM(J12:L13)/'Sm Comm Cust Fcst'!$R44)-M43</f>
        <v>0</v>
      </c>
      <c r="Q49" s="82">
        <f>IF(SUM(N12:P13)=0,0,SUM(N12:P13)/'Sm Comm Cust Fcst'!$S44)-Q43</f>
        <v>0</v>
      </c>
      <c r="U49" s="82">
        <f>IF(SUM(R12:T13)=0,0,SUM(R12:T13)/'Sm Comm Cust Fcst'!$T44)-U43</f>
        <v>0</v>
      </c>
    </row>
    <row r="50" spans="1:21">
      <c r="E50" s="82">
        <f>IF(SUM(B14:D38)=0,0,SUM(B14:D38)/'Sm Comm Cust Fcst'!$P45)-E44</f>
        <v>0</v>
      </c>
      <c r="I50" s="82">
        <f>IF(SUM(F14:H38)=0,0,SUM(F14:H38)/'Sm Comm Cust Fcst'!$Q45)-I44</f>
        <v>0</v>
      </c>
      <c r="M50" s="82">
        <f>IF(SUM(J14:L38)=0,0,SUM(J14:L38)/'Sm Comm Cust Fcst'!$R45)-M44</f>
        <v>0</v>
      </c>
      <c r="Q50" s="82">
        <f>IF(SUM(N14:P38)=0,0,SUM(N14:P38)/'Sm Comm Cust Fcst'!$S45)-Q44</f>
        <v>0</v>
      </c>
      <c r="U50" s="82">
        <f>IF(SUM(R14:T38)=0,0,SUM(R14:T38)/'Sm Comm Cust Fcst'!$T45)-U44</f>
        <v>0</v>
      </c>
    </row>
    <row r="53" spans="1:21">
      <c r="A53" s="19"/>
    </row>
    <row r="65" spans="1:1">
      <c r="A65" s="19"/>
    </row>
  </sheetData>
  <mergeCells count="7">
    <mergeCell ref="A1:Q1"/>
    <mergeCell ref="B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6" orientation="portrait" r:id="rId1"/>
  <headerFooter alignWithMargins="0">
    <oddFooter>&amp;L&amp;F
&amp;A&amp;R&amp;P of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24">
    <tabColor rgb="FF00642D"/>
    <pageSetUpPr fitToPage="1"/>
  </sheetPr>
  <dimension ref="A1:P59"/>
  <sheetViews>
    <sheetView topLeftCell="A14" zoomScaleNormal="100" workbookViewId="0">
      <selection activeCell="D33" sqref="D33:F33"/>
    </sheetView>
  </sheetViews>
  <sheetFormatPr defaultRowHeight="12.75"/>
  <cols>
    <col min="1" max="1" width="41.140625" customWidth="1"/>
    <col min="2" max="6" width="11.140625" customWidth="1"/>
    <col min="12" max="12" width="9.140625" bestFit="1" customWidth="1"/>
    <col min="13" max="13" width="9.85546875" bestFit="1" customWidth="1"/>
    <col min="14" max="14" width="10.85546875" bestFit="1" customWidth="1"/>
    <col min="15" max="16" width="10.140625" bestFit="1" customWidth="1"/>
  </cols>
  <sheetData>
    <row r="1" spans="1:16" ht="18.75" thickBot="1">
      <c r="A1" s="741" t="s">
        <v>137</v>
      </c>
      <c r="B1" s="760"/>
      <c r="C1" s="760"/>
      <c r="D1" s="760"/>
      <c r="E1" s="760"/>
      <c r="F1" s="760"/>
    </row>
    <row r="2" spans="1:16" ht="13.5" thickBot="1">
      <c r="A2" s="103"/>
      <c r="B2" s="742" t="s">
        <v>73</v>
      </c>
      <c r="C2" s="743"/>
      <c r="D2" s="743"/>
      <c r="E2" s="743"/>
      <c r="F2" s="743"/>
      <c r="G2" s="743"/>
      <c r="H2" s="743"/>
      <c r="I2" s="743"/>
      <c r="J2" s="743"/>
      <c r="K2" s="743"/>
      <c r="L2" s="743"/>
      <c r="M2" s="743"/>
      <c r="N2" s="743"/>
      <c r="O2" s="743"/>
      <c r="P2" s="744"/>
    </row>
    <row r="3" spans="1:16" ht="13.5" thickBot="1">
      <c r="A3" s="163"/>
      <c r="B3" s="742" t="s">
        <v>0</v>
      </c>
      <c r="C3" s="743"/>
      <c r="D3" s="743"/>
      <c r="E3" s="743"/>
      <c r="F3" s="744"/>
      <c r="G3" s="743" t="s">
        <v>1</v>
      </c>
      <c r="H3" s="743"/>
      <c r="I3" s="743"/>
      <c r="J3" s="743"/>
      <c r="K3" s="744"/>
      <c r="L3" s="742" t="s">
        <v>375</v>
      </c>
      <c r="M3" s="743"/>
      <c r="N3" s="743"/>
      <c r="O3" s="743"/>
      <c r="P3" s="744"/>
    </row>
    <row r="4" spans="1:16" ht="13.5" thickBot="1">
      <c r="A4" s="77" t="s">
        <v>47</v>
      </c>
      <c r="B4" s="454" t="s">
        <v>92</v>
      </c>
      <c r="C4" s="455" t="s">
        <v>114</v>
      </c>
      <c r="D4" s="455" t="s">
        <v>115</v>
      </c>
      <c r="E4" s="455" t="s">
        <v>116</v>
      </c>
      <c r="F4" s="456" t="s">
        <v>2</v>
      </c>
      <c r="G4" s="534" t="s">
        <v>92</v>
      </c>
      <c r="H4" s="532" t="s">
        <v>114</v>
      </c>
      <c r="I4" s="532" t="s">
        <v>115</v>
      </c>
      <c r="J4" s="532" t="s">
        <v>116</v>
      </c>
      <c r="K4" s="533" t="s">
        <v>136</v>
      </c>
      <c r="L4" s="534" t="s">
        <v>92</v>
      </c>
      <c r="M4" s="532" t="s">
        <v>114</v>
      </c>
      <c r="N4" s="532" t="s">
        <v>115</v>
      </c>
      <c r="O4" s="532" t="s">
        <v>116</v>
      </c>
      <c r="P4" s="533" t="s">
        <v>2</v>
      </c>
    </row>
    <row r="5" spans="1:16">
      <c r="A5" s="459"/>
      <c r="B5" s="35"/>
      <c r="C5" s="149"/>
      <c r="D5" s="149"/>
      <c r="E5" s="149"/>
      <c r="F5" s="284"/>
      <c r="G5" s="35"/>
      <c r="H5" s="149"/>
      <c r="I5" s="149"/>
      <c r="J5" s="149"/>
      <c r="K5" s="284"/>
      <c r="L5" s="35"/>
      <c r="M5" s="149"/>
      <c r="N5" s="149"/>
      <c r="O5" s="149"/>
      <c r="P5" s="284"/>
    </row>
    <row r="6" spans="1:16">
      <c r="A6" s="117"/>
      <c r="B6" s="36"/>
      <c r="C6" s="66"/>
      <c r="D6" s="66"/>
      <c r="E6" s="66"/>
      <c r="F6" s="132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>
      <c r="A7" s="117" t="s">
        <v>49</v>
      </c>
      <c r="B7" s="36"/>
      <c r="C7" s="66"/>
      <c r="D7" s="66"/>
      <c r="E7" s="66"/>
      <c r="F7" s="132"/>
      <c r="G7" s="36"/>
      <c r="H7" s="66"/>
      <c r="I7" s="66"/>
      <c r="J7" s="66"/>
      <c r="K7" s="132"/>
      <c r="L7" s="36"/>
      <c r="M7" s="66"/>
      <c r="N7" s="66"/>
      <c r="O7" s="66"/>
      <c r="P7" s="132"/>
    </row>
    <row r="8" spans="1:16">
      <c r="A8" s="381"/>
      <c r="B8" s="37"/>
      <c r="C8" s="67"/>
      <c r="D8" s="67"/>
      <c r="E8" s="67"/>
      <c r="F8" s="133"/>
      <c r="G8" s="37"/>
      <c r="H8" s="67"/>
      <c r="I8" s="67"/>
      <c r="J8" s="67"/>
      <c r="K8" s="133"/>
      <c r="L8" s="37"/>
      <c r="M8" s="67"/>
      <c r="N8" s="67"/>
      <c r="O8" s="67"/>
      <c r="P8" s="133"/>
    </row>
    <row r="9" spans="1:16">
      <c r="A9" s="117" t="s">
        <v>53</v>
      </c>
      <c r="B9" s="111"/>
      <c r="C9" s="33"/>
      <c r="D9" s="33">
        <f>'Sch A-TOU TSM'!$R$43</f>
        <v>8513.5117606547683</v>
      </c>
      <c r="E9" s="33"/>
      <c r="F9" s="34">
        <f>'Sch A-TOU TSM'!$R$40</f>
        <v>8513.5117606547683</v>
      </c>
      <c r="G9" s="111"/>
      <c r="H9" s="33"/>
      <c r="I9" s="33"/>
      <c r="J9" s="33"/>
      <c r="K9" s="34"/>
      <c r="L9" s="111"/>
      <c r="M9" s="33"/>
      <c r="N9" s="33">
        <f>'Sch A-TOU TSM'!$R$43</f>
        <v>8513.5117606547683</v>
      </c>
      <c r="O9" s="33"/>
      <c r="P9" s="34">
        <f>'Sch A-TOU TSM'!$R$40</f>
        <v>8513.5117606547683</v>
      </c>
    </row>
    <row r="10" spans="1:16">
      <c r="A10" s="117" t="s">
        <v>51</v>
      </c>
      <c r="B10" s="111"/>
      <c r="C10" s="33"/>
      <c r="D10" s="33">
        <f>'Sch A-TOU TSM'!$S$43</f>
        <v>554.03222646030622</v>
      </c>
      <c r="E10" s="33"/>
      <c r="F10" s="34">
        <f>'Sch A-TOU TSM'!$S$40</f>
        <v>554.03222646030622</v>
      </c>
      <c r="G10" s="111"/>
      <c r="H10" s="33"/>
      <c r="I10" s="33"/>
      <c r="J10" s="33"/>
      <c r="K10" s="34"/>
      <c r="L10" s="111"/>
      <c r="M10" s="33"/>
      <c r="N10" s="33">
        <f>'Sch A-TOU TSM'!$S$43</f>
        <v>554.03222646030622</v>
      </c>
      <c r="O10" s="33"/>
      <c r="P10" s="34">
        <f>'Sch A-TOU TSM'!$S$40</f>
        <v>554.03222646030622</v>
      </c>
    </row>
    <row r="11" spans="1:16">
      <c r="A11" s="117" t="s">
        <v>52</v>
      </c>
      <c r="B11" s="111"/>
      <c r="C11" s="33"/>
      <c r="D11" s="33">
        <f>'Sch A-TOU TSM'!$T$43</f>
        <v>264.01273807007738</v>
      </c>
      <c r="E11" s="33"/>
      <c r="F11" s="34">
        <f>'Sch A-TOU TSM'!$T$40</f>
        <v>264.01273807007738</v>
      </c>
      <c r="G11" s="111"/>
      <c r="H11" s="33"/>
      <c r="I11" s="33"/>
      <c r="J11" s="33"/>
      <c r="K11" s="34"/>
      <c r="L11" s="111"/>
      <c r="M11" s="33"/>
      <c r="N11" s="33">
        <f>'Sch A-TOU TSM'!$T$43</f>
        <v>264.01273807007738</v>
      </c>
      <c r="O11" s="33"/>
      <c r="P11" s="34">
        <f>'Sch A-TOU TSM'!$T$40</f>
        <v>264.01273807007738</v>
      </c>
    </row>
    <row r="12" spans="1:16">
      <c r="A12" s="382"/>
      <c r="B12" s="38"/>
      <c r="C12" s="68"/>
      <c r="D12" s="68"/>
      <c r="E12" s="68"/>
      <c r="F12" s="286"/>
      <c r="G12" s="38"/>
      <c r="H12" s="68"/>
      <c r="I12" s="68"/>
      <c r="J12" s="68"/>
      <c r="K12" s="286"/>
      <c r="L12" s="38"/>
      <c r="M12" s="68"/>
      <c r="N12" s="68"/>
      <c r="O12" s="68"/>
      <c r="P12" s="286"/>
    </row>
    <row r="13" spans="1:16">
      <c r="A13" s="117" t="s">
        <v>35</v>
      </c>
      <c r="B13" s="114"/>
      <c r="C13" s="30"/>
      <c r="D13" s="30">
        <f>SUM(D9:D11)</f>
        <v>9331.5567251851517</v>
      </c>
      <c r="E13" s="30"/>
      <c r="F13" s="40">
        <f>SUM(F9:F11)</f>
        <v>9331.5567251851517</v>
      </c>
      <c r="G13" s="114"/>
      <c r="H13" s="30"/>
      <c r="I13" s="30"/>
      <c r="J13" s="30"/>
      <c r="K13" s="40"/>
      <c r="L13" s="114"/>
      <c r="M13" s="30"/>
      <c r="N13" s="30">
        <f t="shared" ref="N13" si="0">SUM(N9:N11)</f>
        <v>9331.5567251851517</v>
      </c>
      <c r="O13" s="30"/>
      <c r="P13" s="40">
        <f t="shared" ref="P13" si="1">SUM(P9:P11)</f>
        <v>9331.5567251851517</v>
      </c>
    </row>
    <row r="14" spans="1:16">
      <c r="A14" s="382"/>
      <c r="B14" s="38"/>
      <c r="C14" s="68"/>
      <c r="D14" s="68"/>
      <c r="E14" s="68"/>
      <c r="F14" s="286"/>
      <c r="G14" s="38"/>
      <c r="H14" s="68"/>
      <c r="I14" s="68"/>
      <c r="J14" s="68"/>
      <c r="K14" s="286"/>
      <c r="L14" s="38"/>
      <c r="M14" s="68"/>
      <c r="N14" s="68"/>
      <c r="O14" s="68"/>
      <c r="P14" s="286"/>
    </row>
    <row r="15" spans="1:16">
      <c r="A15" s="117" t="s">
        <v>61</v>
      </c>
      <c r="B15" s="114"/>
      <c r="C15" s="30"/>
      <c r="D15" s="30"/>
      <c r="E15" s="30"/>
      <c r="F15" s="4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6">
      <c r="A16" s="383">
        <f>Inputs!C3</f>
        <v>2.7723662892949787E-2</v>
      </c>
      <c r="B16" s="114"/>
      <c r="C16" s="30"/>
      <c r="D16" s="30"/>
      <c r="E16" s="30"/>
      <c r="F16" s="4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6">
      <c r="A17" s="36" t="s">
        <v>60</v>
      </c>
      <c r="B17" s="114"/>
      <c r="C17" s="30"/>
      <c r="D17" s="30"/>
      <c r="E17" s="30"/>
      <c r="F17" s="4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6">
      <c r="A18" s="47">
        <f>Inputs!C4</f>
        <v>1.5023E-2</v>
      </c>
      <c r="B18" s="114"/>
      <c r="C18" s="30"/>
      <c r="D18" s="30"/>
      <c r="E18" s="30"/>
      <c r="F18" s="4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6">
      <c r="A19" s="383"/>
      <c r="B19" s="114"/>
      <c r="C19" s="30"/>
      <c r="D19" s="30"/>
      <c r="E19" s="30"/>
      <c r="F19" s="40"/>
      <c r="G19" s="114"/>
      <c r="H19" s="30"/>
      <c r="I19" s="30"/>
      <c r="J19" s="30"/>
      <c r="K19" s="40"/>
      <c r="L19" s="114"/>
      <c r="M19" s="30"/>
      <c r="N19" s="30"/>
      <c r="O19" s="30"/>
      <c r="P19" s="40"/>
    </row>
    <row r="20" spans="1:16">
      <c r="A20" s="384" t="s">
        <v>97</v>
      </c>
      <c r="B20" s="114"/>
      <c r="C20" s="30"/>
      <c r="D20" s="30">
        <f t="shared" ref="D20:F20" si="2">(D9*(1+$A$16)*(1+$A$18))</f>
        <v>8880.9817924657473</v>
      </c>
      <c r="E20" s="30"/>
      <c r="F20" s="40">
        <f t="shared" si="2"/>
        <v>8880.9817924657473</v>
      </c>
      <c r="G20" s="114"/>
      <c r="H20" s="30"/>
      <c r="I20" s="30"/>
      <c r="J20" s="30"/>
      <c r="K20" s="40"/>
      <c r="L20" s="114"/>
      <c r="M20" s="30"/>
      <c r="N20" s="30">
        <f t="shared" ref="N20:P20" si="3">(N9*(1+$A$16)*(1+$A$18))</f>
        <v>8880.9817924657473</v>
      </c>
      <c r="O20" s="30"/>
      <c r="P20" s="40">
        <f t="shared" si="3"/>
        <v>8880.9817924657473</v>
      </c>
    </row>
    <row r="21" spans="1:16">
      <c r="A21" s="384" t="s">
        <v>51</v>
      </c>
      <c r="B21" s="114"/>
      <c r="C21" s="30"/>
      <c r="D21" s="30">
        <f t="shared" ref="D21:F22" si="4">(D10*(1+$A$16)*(1+$A$18))</f>
        <v>577.94600559227024</v>
      </c>
      <c r="E21" s="30"/>
      <c r="F21" s="40">
        <f t="shared" si="4"/>
        <v>577.94600559227024</v>
      </c>
      <c r="G21" s="114"/>
      <c r="H21" s="30"/>
      <c r="I21" s="30"/>
      <c r="J21" s="30"/>
      <c r="K21" s="40"/>
      <c r="L21" s="114"/>
      <c r="M21" s="30"/>
      <c r="N21" s="30">
        <f t="shared" ref="N21:P21" si="5">(N10*(1+$A$16)*(1+$A$18))</f>
        <v>577.94600559227024</v>
      </c>
      <c r="O21" s="30"/>
      <c r="P21" s="40">
        <f t="shared" si="5"/>
        <v>577.94600559227024</v>
      </c>
    </row>
    <row r="22" spans="1:16">
      <c r="A22" s="384" t="s">
        <v>52</v>
      </c>
      <c r="B22" s="114"/>
      <c r="C22" s="30"/>
      <c r="D22" s="30">
        <f t="shared" si="4"/>
        <v>275.40836093225261</v>
      </c>
      <c r="E22" s="30"/>
      <c r="F22" s="40">
        <f t="shared" si="4"/>
        <v>275.40836093225261</v>
      </c>
      <c r="G22" s="114"/>
      <c r="H22" s="30"/>
      <c r="I22" s="30"/>
      <c r="J22" s="30"/>
      <c r="K22" s="40"/>
      <c r="L22" s="114"/>
      <c r="M22" s="30"/>
      <c r="N22" s="30">
        <f t="shared" ref="N22:P22" si="6">(N11*(1+$A$16)*(1+$A$18))</f>
        <v>275.40836093225261</v>
      </c>
      <c r="O22" s="30"/>
      <c r="P22" s="40">
        <f t="shared" si="6"/>
        <v>275.40836093225261</v>
      </c>
    </row>
    <row r="23" spans="1:16">
      <c r="A23" s="383"/>
      <c r="B23" s="114"/>
      <c r="C23" s="30"/>
      <c r="D23" s="30"/>
      <c r="E23" s="30"/>
      <c r="F23" s="40"/>
      <c r="G23" s="114"/>
      <c r="H23" s="30"/>
      <c r="I23" s="30"/>
      <c r="J23" s="30"/>
      <c r="K23" s="40"/>
      <c r="L23" s="114"/>
      <c r="M23" s="30"/>
      <c r="N23" s="30"/>
      <c r="O23" s="30"/>
      <c r="P23" s="40"/>
    </row>
    <row r="24" spans="1:16">
      <c r="A24" s="117" t="s">
        <v>35</v>
      </c>
      <c r="B24" s="114"/>
      <c r="C24" s="30"/>
      <c r="D24" s="30">
        <f>SUM(D20:D22)</f>
        <v>9734.3361589902706</v>
      </c>
      <c r="E24" s="30"/>
      <c r="F24" s="40">
        <f>SUM(F20:F22)</f>
        <v>9734.3361589902706</v>
      </c>
      <c r="G24" s="114"/>
      <c r="H24" s="30"/>
      <c r="I24" s="30"/>
      <c r="J24" s="30"/>
      <c r="K24" s="40"/>
      <c r="L24" s="114"/>
      <c r="M24" s="30"/>
      <c r="N24" s="30">
        <f t="shared" ref="N24" si="7">SUM(N20:N22)</f>
        <v>9734.3361589902706</v>
      </c>
      <c r="O24" s="30"/>
      <c r="P24" s="40">
        <f t="shared" ref="P24" si="8">SUM(P20:P22)</f>
        <v>9734.3361589902706</v>
      </c>
    </row>
    <row r="25" spans="1:16">
      <c r="A25" s="382"/>
      <c r="B25" s="38"/>
      <c r="C25" s="68"/>
      <c r="D25" s="68"/>
      <c r="E25" s="68"/>
      <c r="F25" s="286"/>
      <c r="G25" s="114"/>
      <c r="H25" s="30"/>
      <c r="I25" s="30"/>
      <c r="J25" s="30"/>
      <c r="K25" s="40"/>
      <c r="L25" s="114"/>
      <c r="M25" s="30"/>
      <c r="N25" s="30"/>
      <c r="O25" s="30"/>
      <c r="P25" s="40"/>
    </row>
    <row r="26" spans="1:16">
      <c r="A26" s="384" t="str">
        <f>'Resid TSM Sum by Rate Schedule'!A25</f>
        <v>Annualized Transformer Cost at 8.05%</v>
      </c>
      <c r="B26" s="119"/>
      <c r="C26" s="73"/>
      <c r="D26" s="73">
        <f>D20*Inputs!$C$5</f>
        <v>714.72953664227191</v>
      </c>
      <c r="E26" s="73"/>
      <c r="F26" s="75">
        <f>F20*Inputs!$C$5</f>
        <v>714.72953664227191</v>
      </c>
      <c r="G26" s="119"/>
      <c r="H26" s="73"/>
      <c r="I26" s="73"/>
      <c r="J26" s="73"/>
      <c r="K26" s="75"/>
      <c r="L26" s="119"/>
      <c r="M26" s="73"/>
      <c r="N26" s="73">
        <f>N20*Inputs!$C$5</f>
        <v>714.72953664227191</v>
      </c>
      <c r="O26" s="73"/>
      <c r="P26" s="75">
        <f>P20*Inputs!$C$5</f>
        <v>714.72953664227191</v>
      </c>
    </row>
    <row r="27" spans="1:16">
      <c r="A27" s="384" t="str">
        <f>'Resid TSM Sum by Rate Schedule'!A26</f>
        <v>Annualized Services Cost at 7.08%</v>
      </c>
      <c r="B27" s="119"/>
      <c r="C27" s="73"/>
      <c r="D27" s="73">
        <f>D21*Inputs!$C$6</f>
        <v>40.904163188879046</v>
      </c>
      <c r="E27" s="73"/>
      <c r="F27" s="75">
        <f>F21*Inputs!$C$6</f>
        <v>40.904163188879046</v>
      </c>
      <c r="G27" s="119"/>
      <c r="H27" s="73"/>
      <c r="I27" s="73"/>
      <c r="J27" s="73"/>
      <c r="K27" s="75"/>
      <c r="L27" s="119"/>
      <c r="M27" s="73"/>
      <c r="N27" s="73">
        <f>N21*Inputs!$C$6</f>
        <v>40.904163188879046</v>
      </c>
      <c r="O27" s="73"/>
      <c r="P27" s="75">
        <f>P21*Inputs!$C$6</f>
        <v>40.904163188879046</v>
      </c>
    </row>
    <row r="28" spans="1:16" ht="15">
      <c r="A28" s="384" t="str">
        <f>'Resid TSM Sum by Rate Schedule'!A27</f>
        <v>Annualized Meter Cost at 10.78%</v>
      </c>
      <c r="B28" s="465"/>
      <c r="C28" s="464"/>
      <c r="D28" s="464">
        <f>D22*Inputs!$C$7</f>
        <v>29.679781178005463</v>
      </c>
      <c r="E28" s="464"/>
      <c r="F28" s="463">
        <f>F22*Inputs!$C$7</f>
        <v>29.679781178005463</v>
      </c>
      <c r="G28" s="465"/>
      <c r="H28" s="464"/>
      <c r="I28" s="464"/>
      <c r="J28" s="464"/>
      <c r="K28" s="463"/>
      <c r="L28" s="465"/>
      <c r="M28" s="464"/>
      <c r="N28" s="464">
        <f>N22*Inputs!$C$7</f>
        <v>29.679781178005463</v>
      </c>
      <c r="O28" s="464"/>
      <c r="P28" s="463">
        <f>P22*Inputs!$C$7</f>
        <v>29.679781178005463</v>
      </c>
    </row>
    <row r="29" spans="1:16">
      <c r="A29" s="459" t="s">
        <v>312</v>
      </c>
      <c r="B29" s="119"/>
      <c r="C29" s="73"/>
      <c r="D29" s="73">
        <f>SUM(D26:D28)</f>
        <v>785.31348100915636</v>
      </c>
      <c r="E29" s="73"/>
      <c r="F29" s="75">
        <f>SUM(F26:F28)</f>
        <v>785.31348100915636</v>
      </c>
      <c r="G29" s="119"/>
      <c r="H29" s="73"/>
      <c r="I29" s="73"/>
      <c r="J29" s="73"/>
      <c r="K29" s="75"/>
      <c r="L29" s="119"/>
      <c r="M29" s="73"/>
      <c r="N29" s="73">
        <f t="shared" ref="N29" si="9">SUM(N26:N28)</f>
        <v>785.31348100915636</v>
      </c>
      <c r="O29" s="73"/>
      <c r="P29" s="75">
        <f t="shared" ref="P29" si="10">SUM(P26:P28)</f>
        <v>785.31348100915636</v>
      </c>
    </row>
    <row r="30" spans="1:16">
      <c r="A30" s="383"/>
      <c r="B30" s="47"/>
      <c r="C30" s="69"/>
      <c r="D30" s="69"/>
      <c r="E30" s="69"/>
      <c r="F30" s="287"/>
      <c r="G30" s="47"/>
      <c r="H30" s="69"/>
      <c r="I30" s="69"/>
      <c r="J30" s="69"/>
      <c r="K30" s="287"/>
      <c r="L30" s="47"/>
      <c r="M30" s="69"/>
      <c r="N30" s="69"/>
      <c r="O30" s="69"/>
      <c r="P30" s="287"/>
    </row>
    <row r="31" spans="1:16">
      <c r="A31" s="117" t="s">
        <v>50</v>
      </c>
      <c r="B31" s="151"/>
      <c r="C31" s="70"/>
      <c r="D31" s="70">
        <f>'Distribution O&amp;M Allocations'!$P$20</f>
        <v>313.31995421589016</v>
      </c>
      <c r="E31" s="70"/>
      <c r="F31" s="285">
        <f>'Distribution O&amp;M Allocations'!$P$20</f>
        <v>313.31995421589016</v>
      </c>
      <c r="G31" s="151"/>
      <c r="H31" s="70"/>
      <c r="I31" s="70"/>
      <c r="J31" s="70"/>
      <c r="K31" s="285"/>
      <c r="L31" s="151"/>
      <c r="M31" s="70"/>
      <c r="N31" s="70">
        <f t="shared" ref="N31:P31" si="11">D31</f>
        <v>313.31995421589016</v>
      </c>
      <c r="O31" s="70"/>
      <c r="P31" s="285">
        <f t="shared" si="11"/>
        <v>313.31995421589016</v>
      </c>
    </row>
    <row r="32" spans="1:16">
      <c r="A32" s="118"/>
      <c r="B32" s="11"/>
      <c r="C32" s="12"/>
      <c r="D32" s="12"/>
      <c r="E32" s="12"/>
      <c r="F32" s="76"/>
      <c r="G32" s="11"/>
      <c r="H32" s="12"/>
      <c r="I32" s="12"/>
      <c r="J32" s="12"/>
      <c r="K32" s="76"/>
      <c r="L32" s="151"/>
      <c r="M32" s="70"/>
      <c r="N32" s="70"/>
      <c r="O32" s="70"/>
      <c r="P32" s="285"/>
    </row>
    <row r="33" spans="1:16">
      <c r="A33" s="117" t="s">
        <v>57</v>
      </c>
      <c r="B33" s="291"/>
      <c r="C33" s="83"/>
      <c r="D33" s="721">
        <v>52.536506967829744</v>
      </c>
      <c r="E33" s="721"/>
      <c r="F33" s="722">
        <v>52.536506967829744</v>
      </c>
      <c r="G33" s="291"/>
      <c r="H33" s="83"/>
      <c r="I33" s="83"/>
      <c r="J33" s="83"/>
      <c r="K33" s="292"/>
      <c r="L33" s="151"/>
      <c r="M33" s="70"/>
      <c r="N33" s="70">
        <f t="shared" ref="N33" si="12">D33</f>
        <v>52.536506967829744</v>
      </c>
      <c r="O33" s="70"/>
      <c r="P33" s="285">
        <f t="shared" ref="P33" si="13">F33</f>
        <v>52.536506967829744</v>
      </c>
    </row>
    <row r="34" spans="1:16">
      <c r="A34" s="118"/>
      <c r="B34" s="11"/>
      <c r="C34" s="12"/>
      <c r="D34" s="12"/>
      <c r="E34" s="12"/>
      <c r="F34" s="76"/>
      <c r="G34" s="11"/>
      <c r="H34" s="12"/>
      <c r="I34" s="12"/>
      <c r="J34" s="12"/>
      <c r="K34" s="76"/>
      <c r="L34" s="11"/>
      <c r="M34" s="12"/>
      <c r="N34" s="12"/>
      <c r="O34" s="12"/>
      <c r="P34" s="76"/>
    </row>
    <row r="35" spans="1:16" ht="13.5" thickBot="1">
      <c r="A35" s="460" t="s">
        <v>86</v>
      </c>
      <c r="B35" s="288"/>
      <c r="C35" s="289"/>
      <c r="D35" s="289">
        <f>D29+D31+D33</f>
        <v>1151.1699421928763</v>
      </c>
      <c r="E35" s="289"/>
      <c r="F35" s="290">
        <f>F29+F31+F33</f>
        <v>1151.1699421928763</v>
      </c>
      <c r="G35" s="288"/>
      <c r="H35" s="289"/>
      <c r="I35" s="289"/>
      <c r="J35" s="289"/>
      <c r="K35" s="290"/>
      <c r="L35" s="288"/>
      <c r="M35" s="289"/>
      <c r="N35" s="289">
        <f t="shared" ref="N35" si="14">N29+N31+N33</f>
        <v>1151.1699421928763</v>
      </c>
      <c r="O35" s="289"/>
      <c r="P35" s="290">
        <f t="shared" ref="P35" si="15">P29+P31+P33</f>
        <v>1151.1699421928763</v>
      </c>
    </row>
    <row r="36" spans="1:16">
      <c r="A36" s="85"/>
      <c r="B36" s="85"/>
      <c r="C36" s="85"/>
      <c r="D36" s="85"/>
      <c r="E36" s="85"/>
      <c r="F36" s="85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</row>
    <row r="59" spans="1:6">
      <c r="A59" s="19"/>
      <c r="B59" s="19"/>
      <c r="C59" s="19"/>
      <c r="D59" s="19"/>
      <c r="E59" s="19"/>
      <c r="F59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23">
    <tabColor rgb="FF00642D"/>
    <pageSetUpPr fitToPage="1"/>
  </sheetPr>
  <dimension ref="A1:P61"/>
  <sheetViews>
    <sheetView zoomScaleNormal="100" workbookViewId="0">
      <selection activeCell="D31" sqref="D31"/>
    </sheetView>
  </sheetViews>
  <sheetFormatPr defaultRowHeight="12.75"/>
  <cols>
    <col min="1" max="1" width="41.140625" customWidth="1"/>
    <col min="2" max="6" width="11.140625" customWidth="1"/>
    <col min="9" max="9" width="11.28515625" bestFit="1" customWidth="1"/>
    <col min="10" max="10" width="7.5703125" bestFit="1" customWidth="1"/>
    <col min="12" max="12" width="9.140625" bestFit="1" customWidth="1"/>
    <col min="13" max="13" width="9.85546875" bestFit="1" customWidth="1"/>
    <col min="14" max="14" width="11.28515625" bestFit="1" customWidth="1"/>
    <col min="15" max="15" width="10.140625" bestFit="1" customWidth="1"/>
    <col min="16" max="16" width="10.28515625" bestFit="1" customWidth="1"/>
  </cols>
  <sheetData>
    <row r="1" spans="1:16" ht="18.75" thickBot="1">
      <c r="A1" s="741" t="s">
        <v>364</v>
      </c>
      <c r="B1" s="760"/>
      <c r="C1" s="760"/>
      <c r="D1" s="760"/>
      <c r="E1" s="760"/>
      <c r="F1" s="760"/>
    </row>
    <row r="2" spans="1:16" ht="13.5" thickBot="1">
      <c r="A2" s="103"/>
      <c r="B2" s="742" t="s">
        <v>73</v>
      </c>
      <c r="C2" s="743"/>
      <c r="D2" s="743"/>
      <c r="E2" s="743"/>
      <c r="F2" s="743"/>
      <c r="G2" s="743"/>
      <c r="H2" s="743"/>
      <c r="I2" s="743"/>
      <c r="J2" s="743"/>
      <c r="K2" s="743"/>
      <c r="L2" s="743"/>
      <c r="M2" s="743"/>
      <c r="N2" s="743"/>
      <c r="O2" s="743"/>
      <c r="P2" s="744"/>
    </row>
    <row r="3" spans="1:16" ht="13.5" thickBot="1">
      <c r="A3" s="163"/>
      <c r="B3" s="742" t="s">
        <v>0</v>
      </c>
      <c r="C3" s="743"/>
      <c r="D3" s="743"/>
      <c r="E3" s="743"/>
      <c r="F3" s="744"/>
      <c r="G3" s="743" t="s">
        <v>1</v>
      </c>
      <c r="H3" s="743"/>
      <c r="I3" s="743"/>
      <c r="J3" s="743"/>
      <c r="K3" s="744"/>
      <c r="L3" s="742" t="s">
        <v>375</v>
      </c>
      <c r="M3" s="743"/>
      <c r="N3" s="743"/>
      <c r="O3" s="743"/>
      <c r="P3" s="744"/>
    </row>
    <row r="4" spans="1:16" ht="13.5" thickBot="1">
      <c r="A4" s="77" t="s">
        <v>47</v>
      </c>
      <c r="B4" s="454" t="s">
        <v>92</v>
      </c>
      <c r="C4" s="455" t="s">
        <v>114</v>
      </c>
      <c r="D4" s="455" t="s">
        <v>115</v>
      </c>
      <c r="E4" s="455" t="s">
        <v>116</v>
      </c>
      <c r="F4" s="456" t="s">
        <v>2</v>
      </c>
      <c r="G4" s="534" t="s">
        <v>92</v>
      </c>
      <c r="H4" s="532" t="s">
        <v>114</v>
      </c>
      <c r="I4" s="532" t="s">
        <v>115</v>
      </c>
      <c r="J4" s="532" t="s">
        <v>116</v>
      </c>
      <c r="K4" s="533" t="s">
        <v>136</v>
      </c>
      <c r="L4" s="534" t="s">
        <v>92</v>
      </c>
      <c r="M4" s="532" t="s">
        <v>114</v>
      </c>
      <c r="N4" s="532" t="s">
        <v>115</v>
      </c>
      <c r="O4" s="532" t="s">
        <v>116</v>
      </c>
      <c r="P4" s="533" t="s">
        <v>2</v>
      </c>
    </row>
    <row r="5" spans="1:16">
      <c r="A5" s="459"/>
      <c r="B5" s="35"/>
      <c r="C5" s="149"/>
      <c r="D5" s="149"/>
      <c r="E5" s="149"/>
      <c r="F5" s="284"/>
      <c r="G5" s="35"/>
      <c r="H5" s="149"/>
      <c r="I5" s="149"/>
      <c r="J5" s="149"/>
      <c r="K5" s="284"/>
      <c r="L5" s="35"/>
      <c r="M5" s="149"/>
      <c r="N5" s="149"/>
      <c r="O5" s="149"/>
      <c r="P5" s="284"/>
    </row>
    <row r="6" spans="1:16">
      <c r="A6" s="117"/>
      <c r="B6" s="36"/>
      <c r="C6" s="66"/>
      <c r="D6" s="66"/>
      <c r="E6" s="66"/>
      <c r="F6" s="132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>
      <c r="A7" s="117" t="s">
        <v>49</v>
      </c>
      <c r="B7" s="36"/>
      <c r="C7" s="66"/>
      <c r="D7" s="66"/>
      <c r="E7" s="66"/>
      <c r="F7" s="132"/>
      <c r="G7" s="36"/>
      <c r="H7" s="66"/>
      <c r="I7" s="66"/>
      <c r="J7" s="66"/>
      <c r="K7" s="132"/>
      <c r="L7" s="36"/>
      <c r="M7" s="66"/>
      <c r="N7" s="66"/>
      <c r="O7" s="66"/>
      <c r="P7" s="132"/>
    </row>
    <row r="8" spans="1:16">
      <c r="A8" s="381"/>
      <c r="B8" s="37"/>
      <c r="C8" s="67"/>
      <c r="D8" s="67"/>
      <c r="E8" s="67"/>
      <c r="F8" s="133"/>
      <c r="G8" s="37"/>
      <c r="H8" s="67"/>
      <c r="I8" s="67"/>
      <c r="J8" s="67"/>
      <c r="K8" s="133"/>
      <c r="L8" s="37"/>
      <c r="M8" s="67"/>
      <c r="N8" s="67"/>
      <c r="O8" s="67"/>
      <c r="P8" s="133"/>
    </row>
    <row r="9" spans="1:16">
      <c r="A9" s="117" t="s">
        <v>53</v>
      </c>
      <c r="B9" s="111"/>
      <c r="C9" s="33"/>
      <c r="D9" s="33">
        <f>'Sch A-TOU TSM Summary'!D9*Inputs!$C$12</f>
        <v>9238.3867508160038</v>
      </c>
      <c r="E9" s="33"/>
      <c r="F9" s="34">
        <f>'Sch A-TOU TSM Summary'!F9*Inputs!$C$12</f>
        <v>9238.3867508160038</v>
      </c>
      <c r="G9" s="111"/>
      <c r="H9" s="33"/>
      <c r="I9" s="33"/>
      <c r="J9" s="33"/>
      <c r="K9" s="34"/>
      <c r="L9" s="111"/>
      <c r="M9" s="33"/>
      <c r="N9" s="33">
        <f>'Sch A-TOU TSM Summary'!N9*Inputs!$C$12</f>
        <v>9238.3867508160038</v>
      </c>
      <c r="O9" s="33"/>
      <c r="P9" s="34">
        <f>'Sch A-TOU TSM Summary'!P9*Inputs!$C$12</f>
        <v>9238.3867508160038</v>
      </c>
    </row>
    <row r="10" spans="1:16">
      <c r="A10" s="117" t="s">
        <v>51</v>
      </c>
      <c r="B10" s="111"/>
      <c r="C10" s="33"/>
      <c r="D10" s="33">
        <f>'Sch A-TOU TSM Summary'!D10*Inputs!$C$12</f>
        <v>601.20478180467501</v>
      </c>
      <c r="E10" s="33"/>
      <c r="F10" s="34">
        <f>'Sch A-TOU TSM Summary'!F10*Inputs!$C$12</f>
        <v>601.20478180467501</v>
      </c>
      <c r="G10" s="111"/>
      <c r="H10" s="33"/>
      <c r="I10" s="33"/>
      <c r="J10" s="33"/>
      <c r="K10" s="34"/>
      <c r="L10" s="111"/>
      <c r="M10" s="33"/>
      <c r="N10" s="33">
        <f>'Sch A-TOU TSM Summary'!N10*Inputs!$C$12</f>
        <v>601.20478180467501</v>
      </c>
      <c r="O10" s="33"/>
      <c r="P10" s="34">
        <f>'Sch A-TOU TSM Summary'!P10*Inputs!$C$12</f>
        <v>601.20478180467501</v>
      </c>
    </row>
    <row r="11" spans="1:16">
      <c r="A11" s="117" t="s">
        <v>52</v>
      </c>
      <c r="B11" s="111"/>
      <c r="C11" s="33"/>
      <c r="D11" s="33">
        <f>'Sch A-TOU TSM Summary'!D11*Inputs!$C$12</f>
        <v>286.49185553549677</v>
      </c>
      <c r="E11" s="33"/>
      <c r="F11" s="34">
        <f>'Sch A-TOU TSM Summary'!F11*Inputs!$C$12</f>
        <v>286.49185553549677</v>
      </c>
      <c r="G11" s="111"/>
      <c r="H11" s="33"/>
      <c r="I11" s="33"/>
      <c r="J11" s="33"/>
      <c r="K11" s="34"/>
      <c r="L11" s="111"/>
      <c r="M11" s="33"/>
      <c r="N11" s="33">
        <f>'Sch A-TOU TSM Summary'!N11*Inputs!$C$12</f>
        <v>286.49185553549677</v>
      </c>
      <c r="O11" s="33"/>
      <c r="P11" s="34">
        <f>'Sch A-TOU TSM Summary'!P11*Inputs!$C$12</f>
        <v>286.49185553549677</v>
      </c>
    </row>
    <row r="12" spans="1:16">
      <c r="A12" s="382"/>
      <c r="B12" s="38"/>
      <c r="C12" s="68"/>
      <c r="D12" s="68"/>
      <c r="E12" s="68"/>
      <c r="F12" s="286"/>
      <c r="G12" s="38"/>
      <c r="H12" s="68"/>
      <c r="I12" s="68"/>
      <c r="J12" s="68"/>
      <c r="K12" s="286"/>
      <c r="L12" s="38"/>
      <c r="M12" s="68"/>
      <c r="N12" s="68"/>
      <c r="O12" s="68"/>
      <c r="P12" s="286"/>
    </row>
    <row r="13" spans="1:16">
      <c r="A13" s="117" t="s">
        <v>35</v>
      </c>
      <c r="B13" s="114"/>
      <c r="C13" s="30"/>
      <c r="D13" s="30">
        <f>SUM(D9:D11)</f>
        <v>10126.083388156176</v>
      </c>
      <c r="E13" s="30"/>
      <c r="F13" s="40">
        <f>SUM(F9:F11)</f>
        <v>10126.083388156176</v>
      </c>
      <c r="G13" s="114"/>
      <c r="H13" s="30"/>
      <c r="I13" s="30"/>
      <c r="J13" s="30"/>
      <c r="K13" s="40"/>
      <c r="L13" s="114"/>
      <c r="M13" s="30"/>
      <c r="N13" s="30">
        <f t="shared" ref="N13" si="0">SUM(N9:N11)</f>
        <v>10126.083388156176</v>
      </c>
      <c r="O13" s="30"/>
      <c r="P13" s="40">
        <f t="shared" ref="P13" si="1">SUM(P9:P11)</f>
        <v>10126.083388156176</v>
      </c>
    </row>
    <row r="14" spans="1:16">
      <c r="A14" s="382"/>
      <c r="B14" s="38"/>
      <c r="C14" s="68"/>
      <c r="D14" s="68"/>
      <c r="E14" s="68"/>
      <c r="F14" s="286"/>
      <c r="G14" s="38"/>
      <c r="H14" s="68"/>
      <c r="I14" s="68"/>
      <c r="J14" s="68"/>
      <c r="K14" s="286"/>
      <c r="L14" s="38"/>
      <c r="M14" s="68"/>
      <c r="N14" s="68"/>
      <c r="O14" s="68"/>
      <c r="P14" s="286"/>
    </row>
    <row r="15" spans="1:16">
      <c r="A15" s="117" t="s">
        <v>61</v>
      </c>
      <c r="B15" s="114"/>
      <c r="C15" s="30"/>
      <c r="D15" s="30"/>
      <c r="E15" s="30"/>
      <c r="F15" s="4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6">
      <c r="A16" s="383">
        <f>Inputs!C3</f>
        <v>2.7723662892949787E-2</v>
      </c>
      <c r="B16" s="114"/>
      <c r="C16" s="30"/>
      <c r="D16" s="30"/>
      <c r="E16" s="30"/>
      <c r="F16" s="4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6">
      <c r="A17" s="36" t="s">
        <v>60</v>
      </c>
      <c r="B17" s="114"/>
      <c r="C17" s="30"/>
      <c r="D17" s="30"/>
      <c r="E17" s="30"/>
      <c r="F17" s="4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6">
      <c r="A18" s="47">
        <f>Inputs!C4</f>
        <v>1.5023E-2</v>
      </c>
      <c r="B18" s="114"/>
      <c r="C18" s="30"/>
      <c r="D18" s="30"/>
      <c r="E18" s="30"/>
      <c r="F18" s="4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6">
      <c r="A19" s="383"/>
      <c r="B19" s="114"/>
      <c r="C19" s="30"/>
      <c r="D19" s="30"/>
      <c r="E19" s="30"/>
      <c r="F19" s="40"/>
      <c r="G19" s="114"/>
      <c r="H19" s="30"/>
      <c r="I19" s="30"/>
      <c r="J19" s="30"/>
      <c r="K19" s="40"/>
      <c r="L19" s="114"/>
      <c r="M19" s="30"/>
      <c r="N19" s="30"/>
      <c r="O19" s="30"/>
      <c r="P19" s="40"/>
    </row>
    <row r="20" spans="1:16">
      <c r="A20" s="384" t="s">
        <v>97</v>
      </c>
      <c r="B20" s="114"/>
      <c r="C20" s="30"/>
      <c r="D20" s="30">
        <f t="shared" ref="D20:F20" si="2">(D9*(1+$A$16)*(1+$A$18))</f>
        <v>9637.1446745313042</v>
      </c>
      <c r="E20" s="30"/>
      <c r="F20" s="30">
        <f t="shared" si="2"/>
        <v>9637.1446745313042</v>
      </c>
      <c r="G20" s="114"/>
      <c r="H20" s="30"/>
      <c r="I20" s="30"/>
      <c r="J20" s="30"/>
      <c r="K20" s="40"/>
      <c r="L20" s="114"/>
      <c r="M20" s="30"/>
      <c r="N20" s="30">
        <f t="shared" ref="N20:P20" si="3">(N9*(1+$A$16)*(1+$A$18))</f>
        <v>9637.1446745313042</v>
      </c>
      <c r="O20" s="30"/>
      <c r="P20" s="40">
        <f t="shared" si="3"/>
        <v>9637.1446745313042</v>
      </c>
    </row>
    <row r="21" spans="1:16">
      <c r="A21" s="384" t="s">
        <v>51</v>
      </c>
      <c r="B21" s="114"/>
      <c r="C21" s="30"/>
      <c r="D21" s="30">
        <f t="shared" ref="D21:F22" si="4">(D10*(1+$A$16)*(1+$A$18))</f>
        <v>627.15467727738474</v>
      </c>
      <c r="E21" s="30"/>
      <c r="F21" s="30">
        <f t="shared" si="4"/>
        <v>627.15467727738474</v>
      </c>
      <c r="G21" s="114"/>
      <c r="H21" s="30"/>
      <c r="I21" s="30"/>
      <c r="J21" s="30"/>
      <c r="K21" s="40"/>
      <c r="L21" s="114"/>
      <c r="M21" s="30"/>
      <c r="N21" s="30">
        <f t="shared" ref="N21:P22" si="5">(N10*(1+$A$16)*(1+$A$18))</f>
        <v>627.15467727738474</v>
      </c>
      <c r="O21" s="30"/>
      <c r="P21" s="40">
        <f t="shared" si="5"/>
        <v>627.15467727738474</v>
      </c>
    </row>
    <row r="22" spans="1:16">
      <c r="A22" s="384" t="s">
        <v>52</v>
      </c>
      <c r="B22" s="114"/>
      <c r="C22" s="30"/>
      <c r="D22" s="30">
        <f t="shared" si="4"/>
        <v>298.85774803989835</v>
      </c>
      <c r="E22" s="30"/>
      <c r="F22" s="30">
        <f t="shared" si="4"/>
        <v>298.85774803989835</v>
      </c>
      <c r="G22" s="114"/>
      <c r="H22" s="30"/>
      <c r="I22" s="30"/>
      <c r="J22" s="30"/>
      <c r="K22" s="40"/>
      <c r="L22" s="114"/>
      <c r="M22" s="30"/>
      <c r="N22" s="30">
        <f t="shared" si="5"/>
        <v>298.85774803989835</v>
      </c>
      <c r="O22" s="30"/>
      <c r="P22" s="40">
        <f t="shared" si="5"/>
        <v>298.85774803989835</v>
      </c>
    </row>
    <row r="23" spans="1:16">
      <c r="A23" s="383"/>
      <c r="B23" s="114"/>
      <c r="C23" s="30"/>
      <c r="D23" s="30"/>
      <c r="E23" s="30"/>
      <c r="F23" s="40"/>
      <c r="G23" s="114"/>
      <c r="H23" s="30"/>
      <c r="I23" s="30"/>
      <c r="J23" s="30"/>
      <c r="K23" s="40"/>
      <c r="L23" s="114"/>
      <c r="M23" s="30"/>
      <c r="N23" s="30"/>
      <c r="O23" s="30"/>
      <c r="P23" s="40"/>
    </row>
    <row r="24" spans="1:16">
      <c r="A24" s="117" t="s">
        <v>35</v>
      </c>
      <c r="B24" s="114"/>
      <c r="C24" s="30"/>
      <c r="D24" s="30">
        <f>SUM(D20:D22)</f>
        <v>10563.157099848588</v>
      </c>
      <c r="E24" s="30"/>
      <c r="F24" s="40">
        <f>SUM(F20:F22)</f>
        <v>10563.157099848588</v>
      </c>
      <c r="G24" s="114"/>
      <c r="H24" s="30"/>
      <c r="I24" s="30"/>
      <c r="J24" s="30"/>
      <c r="K24" s="40"/>
      <c r="L24" s="114"/>
      <c r="M24" s="30"/>
      <c r="N24" s="30">
        <f>SUM(N20:N22)</f>
        <v>10563.157099848588</v>
      </c>
      <c r="O24" s="30"/>
      <c r="P24" s="40">
        <f>SUM(P20:P22)</f>
        <v>10563.157099848588</v>
      </c>
    </row>
    <row r="25" spans="1:16">
      <c r="A25" s="382"/>
      <c r="B25" s="38"/>
      <c r="C25" s="68"/>
      <c r="D25" s="68"/>
      <c r="E25" s="68"/>
      <c r="F25" s="286"/>
      <c r="G25" s="114"/>
      <c r="H25" s="30"/>
      <c r="I25" s="30"/>
      <c r="J25" s="30"/>
      <c r="K25" s="40"/>
      <c r="L25" s="114"/>
      <c r="M25" s="30"/>
      <c r="N25" s="30"/>
      <c r="O25" s="30"/>
      <c r="P25" s="40"/>
    </row>
    <row r="26" spans="1:16">
      <c r="A26" s="384" t="str">
        <f>'Resid TSM Sum by Rate Schedule'!A25</f>
        <v>Annualized Transformer Cost at 8.05%</v>
      </c>
      <c r="B26" s="119"/>
      <c r="C26" s="73"/>
      <c r="D26" s="73">
        <f>D20*Inputs!$C$5</f>
        <v>775.58451404840707</v>
      </c>
      <c r="E26" s="73"/>
      <c r="F26" s="75">
        <f>F20*Inputs!$C$5</f>
        <v>775.58451404840707</v>
      </c>
      <c r="G26" s="119"/>
      <c r="H26" s="73"/>
      <c r="I26" s="73"/>
      <c r="J26" s="73"/>
      <c r="K26" s="75"/>
      <c r="L26" s="119"/>
      <c r="M26" s="73"/>
      <c r="N26" s="73">
        <f>N20*Inputs!$C$5</f>
        <v>775.58451404840707</v>
      </c>
      <c r="O26" s="73"/>
      <c r="P26" s="75">
        <f>P20*Inputs!$C$5</f>
        <v>775.58451404840707</v>
      </c>
    </row>
    <row r="27" spans="1:16">
      <c r="A27" s="384" t="str">
        <f>'Resid TSM Sum by Rate Schedule'!A26</f>
        <v>Annualized Services Cost at 7.08%</v>
      </c>
      <c r="B27" s="119"/>
      <c r="C27" s="73"/>
      <c r="D27" s="73">
        <f>D21*Inputs!$C$6</f>
        <v>44.386909877046165</v>
      </c>
      <c r="E27" s="73"/>
      <c r="F27" s="75">
        <f>F21*Inputs!$C$6</f>
        <v>44.386909877046165</v>
      </c>
      <c r="G27" s="119"/>
      <c r="H27" s="73"/>
      <c r="I27" s="73"/>
      <c r="J27" s="73"/>
      <c r="K27" s="75"/>
      <c r="L27" s="119"/>
      <c r="M27" s="73"/>
      <c r="N27" s="73">
        <f>N21*Inputs!$C$6</f>
        <v>44.386909877046165</v>
      </c>
      <c r="O27" s="73"/>
      <c r="P27" s="75">
        <f>P21*Inputs!$C$6</f>
        <v>44.386909877046165</v>
      </c>
    </row>
    <row r="28" spans="1:16" ht="15">
      <c r="A28" s="384" t="str">
        <f>'Resid TSM Sum by Rate Schedule'!A27</f>
        <v>Annualized Meter Cost at 10.78%</v>
      </c>
      <c r="B28" s="465"/>
      <c r="C28" s="464"/>
      <c r="D28" s="464">
        <f>D22*Inputs!$C$7</f>
        <v>32.20683836594781</v>
      </c>
      <c r="E28" s="464"/>
      <c r="F28" s="463">
        <f>F22*Inputs!$C$7</f>
        <v>32.20683836594781</v>
      </c>
      <c r="G28" s="465"/>
      <c r="H28" s="464"/>
      <c r="I28" s="464"/>
      <c r="J28" s="464"/>
      <c r="K28" s="463"/>
      <c r="L28" s="465"/>
      <c r="M28" s="464"/>
      <c r="N28" s="464">
        <f>N22*Inputs!$C$7</f>
        <v>32.20683836594781</v>
      </c>
      <c r="O28" s="464"/>
      <c r="P28" s="463">
        <f>P22*Inputs!$C$7</f>
        <v>32.20683836594781</v>
      </c>
    </row>
    <row r="29" spans="1:16">
      <c r="A29" s="459" t="s">
        <v>312</v>
      </c>
      <c r="B29" s="119"/>
      <c r="C29" s="73"/>
      <c r="D29" s="73">
        <f>SUM(D26:D28)</f>
        <v>852.17826229140098</v>
      </c>
      <c r="E29" s="73"/>
      <c r="F29" s="75">
        <f>SUM(F26:F28)</f>
        <v>852.17826229140098</v>
      </c>
      <c r="G29" s="119"/>
      <c r="H29" s="73"/>
      <c r="I29" s="73"/>
      <c r="J29" s="73"/>
      <c r="K29" s="75"/>
      <c r="L29" s="119"/>
      <c r="M29" s="73"/>
      <c r="N29" s="73">
        <f t="shared" ref="N29" si="6">SUM(N26:N28)</f>
        <v>852.17826229140098</v>
      </c>
      <c r="O29" s="73"/>
      <c r="P29" s="75">
        <f t="shared" ref="P29" si="7">SUM(P26:P28)</f>
        <v>852.17826229140098</v>
      </c>
    </row>
    <row r="30" spans="1:16">
      <c r="A30" s="383"/>
      <c r="B30" s="47"/>
      <c r="C30" s="69"/>
      <c r="D30" s="69"/>
      <c r="E30" s="69"/>
      <c r="F30" s="287"/>
      <c r="G30" s="47"/>
      <c r="H30" s="69"/>
      <c r="I30" s="69"/>
      <c r="J30" s="69"/>
      <c r="K30" s="287"/>
      <c r="L30" s="47"/>
      <c r="M30" s="69"/>
      <c r="N30" s="69"/>
      <c r="O30" s="69"/>
      <c r="P30" s="287"/>
    </row>
    <row r="31" spans="1:16">
      <c r="A31" s="36" t="s">
        <v>50</v>
      </c>
      <c r="B31" s="151"/>
      <c r="C31" s="70"/>
      <c r="D31" s="70">
        <f>'Sch A-TOU TSM Summary'!D$31*Inputs!$C$13</f>
        <v>330.09752769608144</v>
      </c>
      <c r="E31" s="70"/>
      <c r="F31" s="285">
        <f>'Sch A-TOU TSM Summary'!F$31*Inputs!$C$13</f>
        <v>330.09752769608144</v>
      </c>
      <c r="G31" s="151"/>
      <c r="H31" s="70"/>
      <c r="I31" s="70"/>
      <c r="J31" s="70"/>
      <c r="K31" s="285"/>
      <c r="L31" s="151"/>
      <c r="M31" s="70"/>
      <c r="N31" s="70">
        <f>'Sch A-TOU TSM Summary'!N$31*Inputs!$C$13</f>
        <v>330.09752769608144</v>
      </c>
      <c r="O31" s="70"/>
      <c r="P31" s="285">
        <f>'Sch A-TOU TSM Summary'!P$31*Inputs!$C$13</f>
        <v>330.09752769608144</v>
      </c>
    </row>
    <row r="32" spans="1:16" ht="15">
      <c r="A32" s="36" t="s">
        <v>379</v>
      </c>
      <c r="B32" s="552"/>
      <c r="C32" s="551"/>
      <c r="D32" s="551">
        <f>-Inputs!$C$18</f>
        <v>-3.0284021924274875</v>
      </c>
      <c r="E32" s="551"/>
      <c r="F32" s="553">
        <f>-Inputs!$C$18</f>
        <v>-3.0284021924274875</v>
      </c>
      <c r="G32" s="552"/>
      <c r="H32" s="551"/>
      <c r="I32" s="551"/>
      <c r="J32" s="551"/>
      <c r="K32" s="553"/>
      <c r="L32" s="552"/>
      <c r="M32" s="551"/>
      <c r="N32" s="551">
        <f>-Inputs!$C$18</f>
        <v>-3.0284021924274875</v>
      </c>
      <c r="O32" s="551"/>
      <c r="P32" s="553">
        <f>-Inputs!$C$18</f>
        <v>-3.0284021924274875</v>
      </c>
    </row>
    <row r="33" spans="1:16">
      <c r="A33" s="36" t="s">
        <v>377</v>
      </c>
      <c r="B33" s="151"/>
      <c r="C33" s="70"/>
      <c r="D33" s="70">
        <f t="shared" ref="D33:P33" si="8">D31+D32</f>
        <v>327.06912550365394</v>
      </c>
      <c r="E33" s="70"/>
      <c r="F33" s="285">
        <f t="shared" si="8"/>
        <v>327.06912550365394</v>
      </c>
      <c r="G33" s="151"/>
      <c r="H33" s="70"/>
      <c r="I33" s="70"/>
      <c r="J33" s="70"/>
      <c r="K33" s="285"/>
      <c r="L33" s="151"/>
      <c r="M33" s="70"/>
      <c r="N33" s="70">
        <f t="shared" ref="N33" si="9">N31+N32</f>
        <v>327.06912550365394</v>
      </c>
      <c r="O33" s="70"/>
      <c r="P33" s="285">
        <f t="shared" si="8"/>
        <v>327.06912550365394</v>
      </c>
    </row>
    <row r="34" spans="1:16">
      <c r="A34" s="118"/>
      <c r="B34" s="151"/>
      <c r="C34" s="70"/>
      <c r="D34" s="70"/>
      <c r="E34" s="70"/>
      <c r="F34" s="285"/>
      <c r="G34" s="11"/>
      <c r="H34" s="12"/>
      <c r="I34" s="12"/>
      <c r="J34" s="12"/>
      <c r="K34" s="76"/>
      <c r="L34" s="151"/>
      <c r="M34" s="70"/>
      <c r="N34" s="70"/>
      <c r="O34" s="70"/>
      <c r="P34" s="285"/>
    </row>
    <row r="35" spans="1:16">
      <c r="A35" s="117" t="s">
        <v>57</v>
      </c>
      <c r="B35" s="151"/>
      <c r="C35" s="70"/>
      <c r="D35" s="70">
        <f>'Sch A-TOU TSM Summary'!D33*Inputs!$C$14</f>
        <v>56.488244546548472</v>
      </c>
      <c r="E35" s="70"/>
      <c r="F35" s="285">
        <f>'Sch A-TOU TSM Summary'!F33*Inputs!$C$14</f>
        <v>56.488244546548472</v>
      </c>
      <c r="G35" s="291"/>
      <c r="H35" s="83"/>
      <c r="I35" s="83"/>
      <c r="J35" s="83"/>
      <c r="K35" s="292"/>
      <c r="L35" s="151"/>
      <c r="M35" s="70"/>
      <c r="N35" s="70">
        <f>'Sch A-TOU TSM Summary'!N33*Inputs!$C$14</f>
        <v>56.488244546548472</v>
      </c>
      <c r="O35" s="70"/>
      <c r="P35" s="285">
        <f>'Sch A-TOU TSM Summary'!P33*Inputs!$C$14</f>
        <v>56.488244546548472</v>
      </c>
    </row>
    <row r="36" spans="1:16">
      <c r="A36" s="118"/>
      <c r="B36" s="11"/>
      <c r="C36" s="12"/>
      <c r="D36" s="12"/>
      <c r="E36" s="12"/>
      <c r="F36" s="76"/>
      <c r="G36" s="11"/>
      <c r="H36" s="12"/>
      <c r="I36" s="12"/>
      <c r="J36" s="12"/>
      <c r="K36" s="76"/>
      <c r="L36" s="11"/>
      <c r="M36" s="12"/>
      <c r="N36" s="12"/>
      <c r="O36" s="12"/>
      <c r="P36" s="76"/>
    </row>
    <row r="37" spans="1:16" ht="13.5" thickBot="1">
      <c r="A37" s="460" t="s">
        <v>86</v>
      </c>
      <c r="B37" s="288"/>
      <c r="C37" s="289"/>
      <c r="D37" s="289">
        <f>D29+D33+D35</f>
        <v>1235.7356323416034</v>
      </c>
      <c r="E37" s="289"/>
      <c r="F37" s="290">
        <f>F29+F33+F35</f>
        <v>1235.7356323416034</v>
      </c>
      <c r="G37" s="288"/>
      <c r="H37" s="289"/>
      <c r="I37" s="289"/>
      <c r="J37" s="289"/>
      <c r="K37" s="290"/>
      <c r="L37" s="288"/>
      <c r="M37" s="289"/>
      <c r="N37" s="289">
        <f t="shared" ref="N37" si="10">N29+N33+N35</f>
        <v>1235.7356323416034</v>
      </c>
      <c r="O37" s="289"/>
      <c r="P37" s="290">
        <f t="shared" ref="P37" si="11">P29+P33+P35</f>
        <v>1235.7356323416034</v>
      </c>
    </row>
    <row r="38" spans="1:16">
      <c r="A38" s="85"/>
      <c r="B38" s="85"/>
      <c r="C38" s="85"/>
      <c r="D38" s="85"/>
      <c r="E38" s="85"/>
      <c r="F38" s="85"/>
    </row>
    <row r="41" spans="1:16">
      <c r="A41" t="s">
        <v>3</v>
      </c>
    </row>
    <row r="49" spans="1:6">
      <c r="A49" s="19"/>
      <c r="B49" s="19"/>
      <c r="C49" s="19"/>
      <c r="D49" s="19"/>
      <c r="E49" s="19"/>
      <c r="F49" s="19"/>
    </row>
    <row r="61" spans="1:6">
      <c r="A61" s="19"/>
      <c r="B61" s="19"/>
      <c r="C61" s="19"/>
      <c r="D61" s="19"/>
      <c r="E61" s="19"/>
      <c r="F61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70">
    <tabColor rgb="FFFFC000"/>
  </sheetPr>
  <dimension ref="A1:Q56"/>
  <sheetViews>
    <sheetView zoomScaleNormal="100" workbookViewId="0">
      <selection activeCell="I8" sqref="I8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8.85546875" style="12" bestFit="1" customWidth="1"/>
    <col min="5" max="5" width="14.140625" style="12" bestFit="1" customWidth="1"/>
    <col min="6" max="6" width="14" style="12" bestFit="1" customWidth="1"/>
    <col min="7" max="7" width="17.140625" style="12" bestFit="1" customWidth="1"/>
    <col min="8" max="8" width="14.85546875" style="12" bestFit="1" customWidth="1"/>
    <col min="9" max="9" width="14" style="12" bestFit="1" customWidth="1"/>
    <col min="10" max="10" width="15.42578125" style="12" bestFit="1" customWidth="1"/>
    <col min="11" max="11" width="17.140625" style="12" bestFit="1" customWidth="1"/>
    <col min="12" max="12" width="16.28515625" style="12" bestFit="1" customWidth="1"/>
    <col min="13" max="13" width="14.85546875" style="12" bestFit="1" customWidth="1"/>
    <col min="14" max="14" width="14.42578125" bestFit="1" customWidth="1"/>
    <col min="15" max="15" width="17.140625" bestFit="1" customWidth="1"/>
    <col min="16" max="16" width="16.28515625" bestFit="1" customWidth="1"/>
    <col min="17" max="17" width="14.42578125" bestFit="1" customWidth="1"/>
  </cols>
  <sheetData>
    <row r="1" spans="1:17" ht="18.75" thickBot="1">
      <c r="A1" s="741" t="s">
        <v>195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  <c r="N1" s="760"/>
      <c r="O1" s="760"/>
      <c r="P1" s="760"/>
      <c r="Q1" s="760"/>
    </row>
    <row r="2" spans="1:17" ht="13.5" thickBot="1">
      <c r="A2" s="103"/>
      <c r="B2" s="751" t="s">
        <v>0</v>
      </c>
      <c r="C2" s="745"/>
      <c r="D2" s="745"/>
      <c r="E2" s="746"/>
      <c r="F2" s="742" t="s">
        <v>1</v>
      </c>
      <c r="G2" s="743"/>
      <c r="H2" s="743"/>
      <c r="I2" s="744"/>
      <c r="J2" s="742" t="s">
        <v>87</v>
      </c>
      <c r="K2" s="743"/>
      <c r="L2" s="743"/>
      <c r="M2" s="744"/>
      <c r="N2" s="742" t="s">
        <v>196</v>
      </c>
      <c r="O2" s="743"/>
      <c r="P2" s="743"/>
      <c r="Q2" s="744"/>
    </row>
    <row r="3" spans="1:17" ht="13.5" thickBot="1">
      <c r="A3" s="77" t="s">
        <v>47</v>
      </c>
      <c r="B3" s="302" t="s">
        <v>152</v>
      </c>
      <c r="C3" s="303" t="s">
        <v>124</v>
      </c>
      <c r="D3" s="303" t="s">
        <v>88</v>
      </c>
      <c r="E3" s="451" t="s">
        <v>2</v>
      </c>
      <c r="F3" s="302" t="s">
        <v>152</v>
      </c>
      <c r="G3" s="303" t="s">
        <v>124</v>
      </c>
      <c r="H3" s="303" t="s">
        <v>88</v>
      </c>
      <c r="I3" s="451" t="s">
        <v>2</v>
      </c>
      <c r="J3" s="302" t="s">
        <v>152</v>
      </c>
      <c r="K3" s="303" t="s">
        <v>124</v>
      </c>
      <c r="L3" s="303" t="s">
        <v>88</v>
      </c>
      <c r="M3" s="451" t="s">
        <v>2</v>
      </c>
      <c r="N3" s="302" t="s">
        <v>152</v>
      </c>
      <c r="O3" s="303" t="s">
        <v>124</v>
      </c>
      <c r="P3" s="303" t="s">
        <v>88</v>
      </c>
      <c r="Q3" s="451" t="s">
        <v>2</v>
      </c>
    </row>
    <row r="4" spans="1:17">
      <c r="A4" s="380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>
      <c r="A7" s="381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>
      <c r="A8" s="117" t="s">
        <v>53</v>
      </c>
      <c r="B8" s="115">
        <f>('Sch OL-TOU TSM Summary'!B8*'Sch OL-TOU Cust Fcst'!$F$39+'Sch AL-TOU TSM Summary'!B8*'Sch AL-TOU Cust Fcst'!$F$39+'Sch DG-R TSM Summary'!B8*'Sch DG-R Cust Fcst'!$F$39)/('Sch OL-TOU Cust Fcst'!$F$39+'Sch AL-TOU Cust Fcst'!$F$39+'Sch DG-R Cust Fcst'!$F$39)</f>
        <v>12122.121192262895</v>
      </c>
      <c r="C8" s="134">
        <f>('Sch OL-TOU TSM Summary'!E8*'Sch OL-TOU Cust Fcst'!$F$40+'Sch AL-TOU TSM Summary'!C8*'Sch AL-TOU Cust Fcst'!$F$40+'Sch DG-R TSM Summary'!C8*'Sch DG-R Cust Fcst'!$F$40)/('Sch OL-TOU Cust Fcst'!$F$40+'Sch AL-TOU Cust Fcst'!$F$40+'Sch DG-R Cust Fcst'!$F$40)</f>
        <v>26618.104208993409</v>
      </c>
      <c r="D8" s="134"/>
      <c r="E8" s="44">
        <f>('Sch OL-TOU TSM Summary'!E8*'Sch OL-TOU Cust Fcst'!$F$38+'Sch AL-TOU TSM Summary'!E8*'Sch AL-TOU Cust Fcst'!$F$38+'Sch DG-R TSM Summary'!E8*'Sch DG-R Cust Fcst'!$F$38)/('Sch OL-TOU Cust Fcst'!$F$38+'Sch AL-TOU Cust Fcst'!$F$38+'Sch DG-R Cust Fcst'!$F$38)</f>
        <v>12536.747769199079</v>
      </c>
      <c r="F8" s="115">
        <f>('Sch AL-TOU TSM Summary'!F8*'Sch AL-TOU Cust Fcst'!$G$39+'Sch DG-R TSM Summary'!F8*'Sch DG-R Cust Fcst'!$G$39+'Sch A6-TOU TSM Summary'!B8*'Sch A6-TOU Cust Fcst '!$B$39)/('Sch AL-TOU Cust Fcst'!$G$39+'Sch DG-R Cust Fcst'!$G$39+'Sch A6-TOU Cust Fcst '!$B$39)</f>
        <v>0</v>
      </c>
      <c r="G8" s="134">
        <f>('Sch AL-TOU TSM Summary'!G8*'Sch AL-TOU Cust Fcst'!$G$40+'Sch DG-R TSM Summary'!G8*'Sch DG-R Cust Fcst'!$G$40+'Sch A6-TOU TSM Summary'!C8*'Sch A6-TOU Cust Fcst '!$B$40)/('Sch AL-TOU Cust Fcst'!$G$40+'Sch DG-R Cust Fcst'!$G$40+'Sch A6-TOU Cust Fcst '!$B$40)</f>
        <v>0</v>
      </c>
      <c r="H8" s="134"/>
      <c r="I8" s="44">
        <f>('Sch AL-TOU TSM Summary'!I8*'Sch AL-TOU Cust Fcst'!$G$38+'Sch DG-R TSM Summary'!I8*'Sch DG-R Cust Fcst'!$G$38+'Sch A6-TOU TSM Summary'!E8*'Sch A6-TOU Cust Fcst '!$B$38)/('Sch AL-TOU Cust Fcst'!$G$38+'Sch DG-R Cust Fcst'!$G$38+'Sch A6-TOU Cust Fcst '!$B$38)</f>
        <v>0</v>
      </c>
      <c r="J8" s="115"/>
      <c r="K8" s="134"/>
      <c r="L8" s="134"/>
      <c r="M8" s="44"/>
      <c r="N8" s="115">
        <f>('Sch OL-TOU TSM Summary'!B8*'Sch OL-TOU Cust Fcst'!$H$39+'Sch AL-TOU TSM Summary'!N8*'Sch AL-TOU Cust Fcst'!$I$39+'Sch DG-R TSM Summary'!J8*'Sch DG-R Cust Fcst'!$H$39+'Sch A6-TOU TSM Summary'!J8*'Sch A6-TOU Cust Fcst '!$D$39)/('Sch OL-TOU Cust Fcst'!$H$39+'Sch AL-TOU Cust Fcst'!$I$39+'Sch DG-R Cust Fcst'!$H$39+'Sch A6-TOU Cust Fcst '!$D$39)</f>
        <v>11571.711365154742</v>
      </c>
      <c r="O8" s="134">
        <f>('Sch OL-TOU TSM Summary'!C8*'Sch OL-TOU Cust Fcst'!$H$40+'Sch AL-TOU TSM Summary'!O8*'Sch AL-TOU Cust Fcst'!$I$40+'Sch DG-R TSM Summary'!K8*'Sch DG-R Cust Fcst'!$H$40+'Sch A6-TOU TSM Summary'!K8*'Sch A6-TOU Cust Fcst '!$D$40)/('Sch OL-TOU Cust Fcst'!$H$40+'Sch AL-TOU Cust Fcst'!$I$40+'Sch DG-R Cust Fcst'!$H$40+'Sch A6-TOU Cust Fcst '!$D$40)</f>
        <v>16094.667661251828</v>
      </c>
      <c r="P8" s="134"/>
      <c r="Q8" s="44">
        <f>('Sch OL-TOU TSM Summary'!E8*'Sch OL-TOU Cust Fcst'!$H$38+'Sch AL-TOU TSM Summary'!Q8*'Sch AL-TOU Cust Fcst'!$I$38+'Sch DG-R TSM Summary'!M8*'Sch DG-R Cust Fcst'!$H$38+'Sch A6-TOU TSM Summary'!M8*'Sch A6-TOU Cust Fcst '!$D$38)/('Sch OL-TOU Cust Fcst'!$H$38+'Sch AL-TOU Cust Fcst'!$I$38+'Sch DG-R Cust Fcst'!$H$38+'Sch A6-TOU Cust Fcst '!$D$38)</f>
        <v>11772.62781219211</v>
      </c>
    </row>
    <row r="9" spans="1:17">
      <c r="A9" s="117" t="s">
        <v>51</v>
      </c>
      <c r="B9" s="115">
        <f>('Sch OL-TOU TSM Summary'!B9*'Sch OL-TOU Cust Fcst'!$F$39+'Sch AL-TOU TSM Summary'!B9*'Sch AL-TOU Cust Fcst'!$F$39+'Sch DG-R TSM Summary'!B9*'Sch DG-R Cust Fcst'!$F$39)/('Sch OL-TOU Cust Fcst'!$F$39+'Sch AL-TOU Cust Fcst'!$F$39+'Sch DG-R Cust Fcst'!$F$39)</f>
        <v>2405.6109921951497</v>
      </c>
      <c r="C9" s="134">
        <f>('Sch OL-TOU TSM Summary'!E9*'Sch OL-TOU Cust Fcst'!$F$40+'Sch AL-TOU TSM Summary'!C9*'Sch AL-TOU Cust Fcst'!$F$40+'Sch DG-R TSM Summary'!C9*'Sch DG-R Cust Fcst'!$F$40)/('Sch OL-TOU Cust Fcst'!$F$40+'Sch AL-TOU Cust Fcst'!$F$40+'Sch DG-R Cust Fcst'!$F$40)</f>
        <v>6619.2023436430081</v>
      </c>
      <c r="D9" s="134"/>
      <c r="E9" s="44">
        <f>('Sch OL-TOU TSM Summary'!E9*'Sch OL-TOU Cust Fcst'!$F$38+'Sch AL-TOU TSM Summary'!E9*'Sch AL-TOU Cust Fcst'!$F$38+'Sch DG-R TSM Summary'!E9*'Sch DG-R Cust Fcst'!$F$38)/('Sch OL-TOU Cust Fcst'!$F$38+'Sch AL-TOU Cust Fcst'!$F$38+'Sch DG-R Cust Fcst'!$F$38)</f>
        <v>2526.1317569230309</v>
      </c>
      <c r="F9" s="115">
        <f>('Sch AL-TOU TSM Summary'!F9*'Sch AL-TOU Cust Fcst'!$G$39+'Sch DG-R TSM Summary'!F9*'Sch DG-R Cust Fcst'!$G$39+'Sch A6-TOU TSM Summary'!B9*'Sch A6-TOU Cust Fcst '!$B$39)/('Sch AL-TOU Cust Fcst'!$G$39+'Sch DG-R Cust Fcst'!$G$39+'Sch A6-TOU Cust Fcst '!$B$39)</f>
        <v>3129.9273129422195</v>
      </c>
      <c r="G9" s="134">
        <f>('Sch AL-TOU TSM Summary'!G9*'Sch AL-TOU Cust Fcst'!$G$40+'Sch DG-R TSM Summary'!G9*'Sch DG-R Cust Fcst'!$G$40+'Sch A6-TOU TSM Summary'!C9*'Sch A6-TOU Cust Fcst '!$B$40)/('Sch AL-TOU Cust Fcst'!$G$40+'Sch DG-R Cust Fcst'!$G$40+'Sch A6-TOU Cust Fcst '!$B$40)</f>
        <v>3129.927312942219</v>
      </c>
      <c r="H9" s="134"/>
      <c r="I9" s="44">
        <f>('Sch AL-TOU TSM Summary'!I9*'Sch AL-TOU Cust Fcst'!$G$38+'Sch DG-R TSM Summary'!I9*'Sch DG-R Cust Fcst'!$G$38+'Sch A6-TOU TSM Summary'!E9*'Sch A6-TOU Cust Fcst '!$B$38)/('Sch AL-TOU Cust Fcst'!$G$38+'Sch DG-R Cust Fcst'!$G$38+'Sch A6-TOU Cust Fcst '!$B$38)</f>
        <v>3129.9273129422199</v>
      </c>
      <c r="J9" s="115"/>
      <c r="K9" s="134"/>
      <c r="L9" s="134"/>
      <c r="M9" s="44"/>
      <c r="N9" s="115">
        <f>('Sch OL-TOU TSM Summary'!B9*'Sch OL-TOU Cust Fcst'!$H$39+'Sch AL-TOU TSM Summary'!N9*'Sch AL-TOU Cust Fcst'!$I$39+'Sch DG-R TSM Summary'!J9*'Sch DG-R Cust Fcst'!$H$39+'Sch A6-TOU TSM Summary'!J9*'Sch A6-TOU Cust Fcst '!$D$39)/('Sch OL-TOU Cust Fcst'!$H$39+'Sch AL-TOU Cust Fcst'!$I$39+'Sch DG-R Cust Fcst'!$H$39+'Sch A6-TOU Cust Fcst '!$D$39)</f>
        <v>2438.4988683804222</v>
      </c>
      <c r="O9" s="134">
        <f>('Sch OL-TOU TSM Summary'!C9*'Sch OL-TOU Cust Fcst'!$H$40+'Sch AL-TOU TSM Summary'!O9*'Sch AL-TOU Cust Fcst'!$I$40+'Sch DG-R TSM Summary'!K9*'Sch DG-R Cust Fcst'!$H$40+'Sch A6-TOU TSM Summary'!K9*'Sch A6-TOU Cust Fcst '!$D$40)/('Sch OL-TOU Cust Fcst'!$H$40+'Sch AL-TOU Cust Fcst'!$I$40+'Sch DG-R Cust Fcst'!$H$40+'Sch A6-TOU Cust Fcst '!$D$40)</f>
        <v>5239.7215175519996</v>
      </c>
      <c r="P9" s="134"/>
      <c r="Q9" s="44">
        <f>('Sch OL-TOU TSM Summary'!E9*'Sch OL-TOU Cust Fcst'!$H$38+'Sch AL-TOU TSM Summary'!Q9*'Sch AL-TOU Cust Fcst'!$I$38+'Sch DG-R TSM Summary'!M9*'Sch DG-R Cust Fcst'!$H$38+'Sch A6-TOU TSM Summary'!M9*'Sch A6-TOU Cust Fcst '!$D$38)/('Sch OL-TOU Cust Fcst'!$H$38+'Sch AL-TOU Cust Fcst'!$I$38+'Sch DG-R Cust Fcst'!$H$38+'Sch A6-TOU Cust Fcst '!$D$38)</f>
        <v>2562.9333455646965</v>
      </c>
    </row>
    <row r="10" spans="1:17">
      <c r="A10" s="117" t="s">
        <v>52</v>
      </c>
      <c r="B10" s="115">
        <f>('Sch OL-TOU TSM Summary'!B10*'Sch OL-TOU Cust Fcst'!$F$39+'Sch AL-TOU TSM Summary'!B10*'Sch AL-TOU Cust Fcst'!$F$39+'Sch DG-R TSM Summary'!B10*'Sch DG-R Cust Fcst'!$F$39)/('Sch OL-TOU Cust Fcst'!$F$39+'Sch AL-TOU Cust Fcst'!$F$39+'Sch DG-R Cust Fcst'!$F$39)</f>
        <v>652.39046235762362</v>
      </c>
      <c r="C10" s="134">
        <f>('Sch OL-TOU TSM Summary'!E10*'Sch OL-TOU Cust Fcst'!$F$40+'Sch AL-TOU TSM Summary'!C10*'Sch AL-TOU Cust Fcst'!$F$40+'Sch DG-R TSM Summary'!C10*'Sch DG-R Cust Fcst'!$F$40)/('Sch OL-TOU Cust Fcst'!$F$40+'Sch AL-TOU Cust Fcst'!$F$40+'Sch DG-R Cust Fcst'!$F$40)</f>
        <v>855.29307702752419</v>
      </c>
      <c r="D10" s="134"/>
      <c r="E10" s="44">
        <f>('Sch OL-TOU TSM Summary'!E10*'Sch OL-TOU Cust Fcst'!$F$38+'Sch AL-TOU TSM Summary'!E10*'Sch AL-TOU Cust Fcst'!$F$38+'Sch DG-R TSM Summary'!E10*'Sch DG-R Cust Fcst'!$F$38)/('Sch OL-TOU Cust Fcst'!$F$38+'Sch AL-TOU Cust Fcst'!$F$38+'Sch DG-R Cust Fcst'!$F$38)</f>
        <v>658.19405749669681</v>
      </c>
      <c r="F10" s="115">
        <f>('Sch AL-TOU TSM Summary'!F10*'Sch AL-TOU Cust Fcst'!$G$39+'Sch DG-R TSM Summary'!F10*'Sch DG-R Cust Fcst'!$G$39+'Sch A6-TOU TSM Summary'!B10*'Sch A6-TOU Cust Fcst '!$B$39)/('Sch AL-TOU Cust Fcst'!$G$39+'Sch DG-R Cust Fcst'!$G$39+'Sch A6-TOU Cust Fcst '!$B$39)</f>
        <v>949.54204287763127</v>
      </c>
      <c r="G10" s="134">
        <f>('Sch AL-TOU TSM Summary'!G10*'Sch AL-TOU Cust Fcst'!$G$40+'Sch DG-R TSM Summary'!G10*'Sch DG-R Cust Fcst'!$G$40+'Sch A6-TOU TSM Summary'!C10*'Sch A6-TOU Cust Fcst '!$B$40)/('Sch AL-TOU Cust Fcst'!$G$40+'Sch DG-R Cust Fcst'!$G$40+'Sch A6-TOU Cust Fcst '!$B$40)</f>
        <v>956.79196332763945</v>
      </c>
      <c r="H10" s="134"/>
      <c r="I10" s="44">
        <f>('Sch AL-TOU TSM Summary'!I10*'Sch AL-TOU Cust Fcst'!$G$38+'Sch DG-R TSM Summary'!I10*'Sch DG-R Cust Fcst'!$G$38+'Sch A6-TOU TSM Summary'!E10*'Sch A6-TOU Cust Fcst '!$B$38)/('Sch AL-TOU Cust Fcst'!$G$38+'Sch DG-R Cust Fcst'!$G$38+'Sch A6-TOU Cust Fcst '!$B$38)</f>
        <v>951.63100300729468</v>
      </c>
      <c r="J10" s="115"/>
      <c r="K10" s="134"/>
      <c r="L10" s="134"/>
      <c r="M10" s="44"/>
      <c r="N10" s="115">
        <f>('Sch OL-TOU TSM Summary'!B10*'Sch OL-TOU Cust Fcst'!$H$39+'Sch AL-TOU TSM Summary'!N10*'Sch AL-TOU Cust Fcst'!$I$39+'Sch DG-R TSM Summary'!J10*'Sch DG-R Cust Fcst'!$H$39+'Sch A6-TOU TSM Summary'!J10*'Sch A6-TOU Cust Fcst '!$D$39)/('Sch OL-TOU Cust Fcst'!$H$39+'Sch AL-TOU Cust Fcst'!$I$39+'Sch DG-R Cust Fcst'!$H$39+'Sch A6-TOU Cust Fcst '!$D$39)</f>
        <v>665.88275033799175</v>
      </c>
      <c r="O10" s="134">
        <f>('Sch OL-TOU TSM Summary'!C10*'Sch OL-TOU Cust Fcst'!$H$40+'Sch AL-TOU TSM Summary'!O10*'Sch AL-TOU Cust Fcst'!$I$40+'Sch DG-R TSM Summary'!K10*'Sch DG-R Cust Fcst'!$H$40+'Sch A6-TOU TSM Summary'!K10*'Sch A6-TOU Cust Fcst '!$D$40)/('Sch OL-TOU Cust Fcst'!$H$40+'Sch AL-TOU Cust Fcst'!$I$40+'Sch DG-R Cust Fcst'!$H$40+'Sch A6-TOU Cust Fcst '!$D$40)</f>
        <v>895.42054370431401</v>
      </c>
      <c r="P10" s="134"/>
      <c r="Q10" s="44">
        <f>('Sch OL-TOU TSM Summary'!E10*'Sch OL-TOU Cust Fcst'!$H$38+'Sch AL-TOU TSM Summary'!Q10*'Sch AL-TOU Cust Fcst'!$I$38+'Sch DG-R TSM Summary'!M10*'Sch DG-R Cust Fcst'!$H$38+'Sch A6-TOU TSM Summary'!M10*'Sch A6-TOU Cust Fcst '!$D$38)/('Sch OL-TOU Cust Fcst'!$H$38+'Sch AL-TOU Cust Fcst'!$I$38+'Sch DG-R Cust Fcst'!$H$38+'Sch A6-TOU Cust Fcst '!$D$38)</f>
        <v>676.07916058050432</v>
      </c>
    </row>
    <row r="11" spans="1:17">
      <c r="A11" s="382"/>
      <c r="B11" s="114"/>
      <c r="C11" s="30"/>
      <c r="D11" s="30"/>
      <c r="E11" s="44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>
      <c r="A12" s="117" t="s">
        <v>35</v>
      </c>
      <c r="B12" s="114">
        <f t="shared" ref="B12:I12" si="0">SUM(B8:B10)</f>
        <v>15180.122646815669</v>
      </c>
      <c r="C12" s="30">
        <f t="shared" si="0"/>
        <v>34092.599629663942</v>
      </c>
      <c r="D12" s="30"/>
      <c r="E12" s="40">
        <f t="shared" si="0"/>
        <v>15721.073583618807</v>
      </c>
      <c r="F12" s="114">
        <f t="shared" si="0"/>
        <v>4079.4693558198505</v>
      </c>
      <c r="G12" s="30">
        <f t="shared" si="0"/>
        <v>4086.7192762698587</v>
      </c>
      <c r="H12" s="30"/>
      <c r="I12" s="40">
        <f t="shared" si="0"/>
        <v>4081.5583159495145</v>
      </c>
      <c r="J12" s="114"/>
      <c r="K12" s="30"/>
      <c r="L12" s="30"/>
      <c r="M12" s="40"/>
      <c r="N12" s="114">
        <f t="shared" ref="N12:Q12" si="1">SUM(N8:N10)</f>
        <v>14676.092983873157</v>
      </c>
      <c r="O12" s="30">
        <f t="shared" si="1"/>
        <v>22229.80972250814</v>
      </c>
      <c r="P12" s="30"/>
      <c r="Q12" s="40">
        <f t="shared" si="1"/>
        <v>15011.64031833731</v>
      </c>
    </row>
    <row r="13" spans="1:17">
      <c r="A13" s="382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>
      <c r="A15" s="383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>
      <c r="A18" s="384" t="s">
        <v>97</v>
      </c>
      <c r="B18" s="114">
        <f>(B8*(1+$A$15)*(1+$A$17))</f>
        <v>12645.3501940391</v>
      </c>
      <c r="C18" s="30">
        <f>(C8*(1+$A$15)*(1+$A$17))</f>
        <v>27767.025579564757</v>
      </c>
      <c r="D18" s="30"/>
      <c r="E18" s="40">
        <f t="shared" ref="E18:Q18" si="2">(E8*(1+$A$15)*(1+$A$17))</f>
        <v>13077.873362381966</v>
      </c>
      <c r="F18" s="114">
        <f t="shared" si="2"/>
        <v>0</v>
      </c>
      <c r="G18" s="30">
        <f t="shared" si="2"/>
        <v>0</v>
      </c>
      <c r="H18" s="30"/>
      <c r="I18" s="40">
        <f t="shared" si="2"/>
        <v>0</v>
      </c>
      <c r="J18" s="114"/>
      <c r="K18" s="30"/>
      <c r="L18" s="30"/>
      <c r="M18" s="40"/>
      <c r="N18" s="114">
        <f t="shared" si="2"/>
        <v>12071.182941985433</v>
      </c>
      <c r="O18" s="30">
        <f t="shared" si="2"/>
        <v>16789.364303922874</v>
      </c>
      <c r="P18" s="30"/>
      <c r="Q18" s="40">
        <f t="shared" si="2"/>
        <v>12280.771576864883</v>
      </c>
    </row>
    <row r="19" spans="1:17">
      <c r="A19" s="384" t="s">
        <v>51</v>
      </c>
      <c r="B19" s="114">
        <f t="shared" ref="B19:C20" si="3">(B9*(1+$A$15)*(1+$A$17))</f>
        <v>2509.444753477087</v>
      </c>
      <c r="C19" s="30">
        <f t="shared" si="3"/>
        <v>6904.9080035591614</v>
      </c>
      <c r="D19" s="30"/>
      <c r="E19" s="40">
        <f t="shared" ref="E19:Q19" si="4">(E9*(1+$A$15)*(1+$A$17))</f>
        <v>2635.1675747115573</v>
      </c>
      <c r="F19" s="114">
        <f t="shared" si="4"/>
        <v>3265.0248521936915</v>
      </c>
      <c r="G19" s="30">
        <f t="shared" si="4"/>
        <v>3265.024852193691</v>
      </c>
      <c r="H19" s="30"/>
      <c r="I19" s="40">
        <f t="shared" si="4"/>
        <v>3265.0248521936919</v>
      </c>
      <c r="J19" s="114"/>
      <c r="K19" s="30"/>
      <c r="L19" s="30"/>
      <c r="M19" s="40"/>
      <c r="N19" s="114">
        <f t="shared" si="4"/>
        <v>2543.7521741755709</v>
      </c>
      <c r="O19" s="30">
        <f t="shared" si="4"/>
        <v>5465.8844320890921</v>
      </c>
      <c r="P19" s="30"/>
      <c r="Q19" s="40">
        <f t="shared" si="4"/>
        <v>2673.5576360456957</v>
      </c>
    </row>
    <row r="20" spans="1:17">
      <c r="A20" s="384" t="s">
        <v>52</v>
      </c>
      <c r="B20" s="114">
        <f t="shared" si="3"/>
        <v>680.54969331842005</v>
      </c>
      <c r="C20" s="30">
        <f t="shared" si="3"/>
        <v>892.21022509273598</v>
      </c>
      <c r="D20" s="30"/>
      <c r="E20" s="40">
        <f t="shared" ref="E20:Q20" si="5">(E10*(1+$A$15)*(1+$A$17))</f>
        <v>686.60378993682752</v>
      </c>
      <c r="F20" s="114">
        <f t="shared" si="5"/>
        <v>990.52727370971604</v>
      </c>
      <c r="G20" s="30">
        <f t="shared" si="5"/>
        <v>998.09012360332986</v>
      </c>
      <c r="H20" s="30"/>
      <c r="I20" s="40">
        <f t="shared" si="5"/>
        <v>992.70639995024897</v>
      </c>
      <c r="J20" s="114"/>
      <c r="K20" s="30"/>
      <c r="L20" s="30"/>
      <c r="M20" s="40"/>
      <c r="N20" s="114">
        <f t="shared" si="5"/>
        <v>694.62435102267375</v>
      </c>
      <c r="O20" s="30">
        <f t="shared" si="5"/>
        <v>934.06971985273833</v>
      </c>
      <c r="P20" s="30"/>
      <c r="Q20" s="40">
        <f t="shared" si="5"/>
        <v>705.26087050582782</v>
      </c>
    </row>
    <row r="21" spans="1:17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>
      <c r="A22" s="117" t="s">
        <v>35</v>
      </c>
      <c r="B22" s="119">
        <f t="shared" ref="B22:Q22" si="6">B18+B19+B20</f>
        <v>15835.344640834608</v>
      </c>
      <c r="C22" s="73">
        <f t="shared" si="6"/>
        <v>35564.14380821665</v>
      </c>
      <c r="D22" s="73"/>
      <c r="E22" s="75">
        <f t="shared" si="6"/>
        <v>16399.644727030351</v>
      </c>
      <c r="F22" s="119">
        <f t="shared" si="6"/>
        <v>4255.5521259034076</v>
      </c>
      <c r="G22" s="73">
        <f t="shared" si="6"/>
        <v>4263.1149757970206</v>
      </c>
      <c r="H22" s="73"/>
      <c r="I22" s="75">
        <f t="shared" si="6"/>
        <v>4257.7312521439408</v>
      </c>
      <c r="J22" s="119"/>
      <c r="K22" s="73"/>
      <c r="L22" s="73"/>
      <c r="M22" s="75"/>
      <c r="N22" s="119">
        <f t="shared" si="6"/>
        <v>15309.559467183677</v>
      </c>
      <c r="O22" s="73">
        <f t="shared" si="6"/>
        <v>23189.318455864704</v>
      </c>
      <c r="P22" s="73"/>
      <c r="Q22" s="75">
        <f t="shared" si="6"/>
        <v>15659.590083416408</v>
      </c>
    </row>
    <row r="23" spans="1:17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>
      <c r="A24" s="384" t="str">
        <f>'Resid TSM Sum by Rate Schedule'!A25</f>
        <v>Annualized Transformer Cost at 8.05%</v>
      </c>
      <c r="B24" s="119">
        <f>B18*Inputs!$C$5</f>
        <v>1017.6808708843761</v>
      </c>
      <c r="C24" s="73">
        <f>C18*Inputs!$C$5</f>
        <v>2234.653081177677</v>
      </c>
      <c r="D24" s="73"/>
      <c r="E24" s="75">
        <f>E18*Inputs!$C$5</f>
        <v>1052.4897569873747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971.47265836854501</v>
      </c>
      <c r="O24" s="73">
        <f>O18*Inputs!$C$5</f>
        <v>1351.1855839678976</v>
      </c>
      <c r="P24" s="73"/>
      <c r="Q24" s="75">
        <f>Q18*Inputs!$C$5</f>
        <v>988.34007138587151</v>
      </c>
    </row>
    <row r="25" spans="1:17">
      <c r="A25" s="384" t="str">
        <f>'Resid TSM Sum by Rate Schedule'!A26</f>
        <v>Annualized Services Cost at 7.08%</v>
      </c>
      <c r="B25" s="119">
        <f>B19*Inputs!$C$6</f>
        <v>177.60610284781239</v>
      </c>
      <c r="C25" s="73">
        <f>C19*Inputs!$C$6</f>
        <v>488.69527784406307</v>
      </c>
      <c r="D25" s="73"/>
      <c r="E25" s="75">
        <f>E19*Inputs!$C$6</f>
        <v>186.50414305672604</v>
      </c>
      <c r="F25" s="119">
        <f>F19*Inputs!$C$6</f>
        <v>231.08232962526188</v>
      </c>
      <c r="G25" s="73">
        <f>G19*Inputs!$C$6</f>
        <v>231.08232962526185</v>
      </c>
      <c r="H25" s="73"/>
      <c r="I25" s="75">
        <f>I19*Inputs!$C$6</f>
        <v>231.08232962526191</v>
      </c>
      <c r="J25" s="119"/>
      <c r="K25" s="73"/>
      <c r="L25" s="73"/>
      <c r="M25" s="75"/>
      <c r="N25" s="119">
        <f>N19*Inputs!$C$6</f>
        <v>180.0342126041939</v>
      </c>
      <c r="O25" s="73">
        <f>O19*Inputs!$C$6</f>
        <v>386.84829831569982</v>
      </c>
      <c r="P25" s="73"/>
      <c r="Q25" s="75">
        <f>Q19*Inputs!$C$6</f>
        <v>189.22120194881654</v>
      </c>
    </row>
    <row r="26" spans="1:17" ht="15">
      <c r="A26" s="384" t="str">
        <f>'Resid TSM Sum by Rate Schedule'!A27</f>
        <v>Annualized Meter Cost at 10.78%</v>
      </c>
      <c r="B26" s="465">
        <f>B20*Inputs!$C$7</f>
        <v>73.340424052768881</v>
      </c>
      <c r="C26" s="464">
        <f>C20*Inputs!$C$7</f>
        <v>96.150328028876856</v>
      </c>
      <c r="D26" s="464"/>
      <c r="E26" s="463">
        <f>E20*Inputs!$C$7</f>
        <v>73.992852549335254</v>
      </c>
      <c r="F26" s="465">
        <f>F20*Inputs!$C$7</f>
        <v>106.74560726855505</v>
      </c>
      <c r="G26" s="464">
        <f>G20*Inputs!$C$7</f>
        <v>107.56062874853029</v>
      </c>
      <c r="H26" s="464"/>
      <c r="I26" s="463">
        <f>I20*Inputs!$C$7</f>
        <v>106.98044396617505</v>
      </c>
      <c r="J26" s="465"/>
      <c r="K26" s="464"/>
      <c r="L26" s="464"/>
      <c r="M26" s="463"/>
      <c r="N26" s="465">
        <f>N20*Inputs!$C$7</f>
        <v>74.857199939323536</v>
      </c>
      <c r="O26" s="464">
        <f>O20*Inputs!$C$7</f>
        <v>100.66137715060033</v>
      </c>
      <c r="P26" s="464"/>
      <c r="Q26" s="463">
        <f>Q20*Inputs!$C$7</f>
        <v>76.003459877427815</v>
      </c>
    </row>
    <row r="27" spans="1:17">
      <c r="A27" s="459" t="s">
        <v>312</v>
      </c>
      <c r="B27" s="119">
        <f>SUM(B24:B26)</f>
        <v>1268.6273977849573</v>
      </c>
      <c r="C27" s="73">
        <f>SUM(C24:C26)</f>
        <v>2819.4986870506173</v>
      </c>
      <c r="D27" s="73"/>
      <c r="E27" s="75">
        <f t="shared" ref="E27:Q27" si="7">SUM(E24:E26)</f>
        <v>1312.986752593436</v>
      </c>
      <c r="F27" s="119">
        <f t="shared" si="7"/>
        <v>337.82793689381691</v>
      </c>
      <c r="G27" s="73">
        <f t="shared" si="7"/>
        <v>338.64295837379211</v>
      </c>
      <c r="H27" s="73"/>
      <c r="I27" s="75">
        <f t="shared" si="7"/>
        <v>338.06277359143695</v>
      </c>
      <c r="J27" s="119"/>
      <c r="K27" s="73"/>
      <c r="L27" s="73"/>
      <c r="M27" s="75"/>
      <c r="N27" s="119">
        <f t="shared" si="7"/>
        <v>1226.3640709120623</v>
      </c>
      <c r="O27" s="73">
        <f t="shared" si="7"/>
        <v>1838.6952594341979</v>
      </c>
      <c r="P27" s="73"/>
      <c r="Q27" s="75">
        <f t="shared" si="7"/>
        <v>1253.5647332121157</v>
      </c>
    </row>
    <row r="28" spans="1:17">
      <c r="A28" s="383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>
      <c r="A29" s="117" t="s">
        <v>50</v>
      </c>
      <c r="B29" s="115">
        <f>('Sch OL-TOU TSM Summary'!B29*'Sch OL-TOU Cust Fcst'!$F$39+'Sch AL-TOU TSM Summary'!B29*'Sch AL-TOU Cust Fcst'!$F$39+'Sch DG-R TSM Summary'!B29*'Sch DG-R Cust Fcst'!$F$39)/('Sch OL-TOU Cust Fcst'!$F$39+'Sch AL-TOU Cust Fcst'!$F$39+'Sch DG-R Cust Fcst'!$F$39)</f>
        <v>527.86794926608172</v>
      </c>
      <c r="C29" s="134">
        <f>('Sch OL-TOU TSM Summary'!E29*'Sch OL-TOU Cust Fcst'!$F$40+'Sch AL-TOU TSM Summary'!C29*'Sch AL-TOU Cust Fcst'!$F$40+'Sch DG-R TSM Summary'!C29*'Sch DG-R Cust Fcst'!$F$40)/('Sch OL-TOU Cust Fcst'!$F$40+'Sch AL-TOU Cust Fcst'!$F$40+'Sch DG-R Cust Fcst'!$F$40)</f>
        <v>527.47959047453833</v>
      </c>
      <c r="D29" s="134"/>
      <c r="E29" s="44">
        <f>('Sch OL-TOU TSM Summary'!E29*'Sch OL-TOU Cust Fcst'!$F$38+'Sch AL-TOU TSM Summary'!E29*'Sch AL-TOU Cust Fcst'!$F$38+'Sch DG-R TSM Summary'!E29*'Sch DG-R Cust Fcst'!$F$38)/('Sch OL-TOU Cust Fcst'!$F$38+'Sch AL-TOU Cust Fcst'!$F$38+'Sch DG-R Cust Fcst'!$F$38)</f>
        <v>527.85684109382646</v>
      </c>
      <c r="F29" s="115">
        <f>('Sch AL-TOU TSM Summary'!F29*'Sch AL-TOU Cust Fcst'!$G$39+'Sch DG-R TSM Summary'!F29*'Sch DG-R Cust Fcst'!$G$39+'Sch A6-TOU TSM Summary'!B29*'Sch A6-TOU Cust Fcst '!$B$39)/('Sch AL-TOU Cust Fcst'!$G$39+'Sch DG-R Cust Fcst'!$G$39+'Sch A6-TOU Cust Fcst '!$B$39)</f>
        <v>137.02793404880708</v>
      </c>
      <c r="G29" s="134">
        <f>('Sch AL-TOU TSM Summary'!G29*'Sch AL-TOU Cust Fcst'!$G$40+'Sch DG-R TSM Summary'!G29*'Sch DG-R Cust Fcst'!$G$40+'Sch A6-TOU TSM Summary'!C29*'Sch A6-TOU Cust Fcst '!$B$40)/('Sch AL-TOU Cust Fcst'!$G$40+'Sch DG-R Cust Fcst'!$G$40+'Sch A6-TOU Cust Fcst '!$B$40)</f>
        <v>137.08361976489317</v>
      </c>
      <c r="H29" s="134"/>
      <c r="I29" s="44">
        <f>('Sch AL-TOU TSM Summary'!I29*'Sch AL-TOU Cust Fcst'!$G$38+'Sch DG-R TSM Summary'!I29*'Sch DG-R Cust Fcst'!$G$38+'Sch A6-TOU TSM Summary'!E29*'Sch A6-TOU Cust Fcst '!$B$38)/('Sch AL-TOU Cust Fcst'!$G$38+'Sch DG-R Cust Fcst'!$G$38+'Sch A6-TOU Cust Fcst '!$B$38)</f>
        <v>137.04397908564545</v>
      </c>
      <c r="J29" s="115"/>
      <c r="K29" s="134"/>
      <c r="L29" s="134"/>
      <c r="M29" s="44"/>
      <c r="N29" s="115">
        <f>('Sch OL-TOU TSM Summary'!B29*'Sch OL-TOU Cust Fcst'!$H$39+'Sch AL-TOU TSM Summary'!N29*'Sch AL-TOU Cust Fcst'!$I$39+'Sch DG-R TSM Summary'!J29*'Sch DG-R Cust Fcst'!$H$39+'Sch A6-TOU TSM Summary'!J29*'Sch A6-TOU Cust Fcst '!$D$39)/('Sch OL-TOU Cust Fcst'!$H$39+'Sch AL-TOU Cust Fcst'!$I$39+'Sch DG-R Cust Fcst'!$H$39+'Sch A6-TOU Cust Fcst '!$D$39)</f>
        <v>504.43380899429889</v>
      </c>
      <c r="O29" s="134">
        <f>('Sch OL-TOU TSM Summary'!C29*'Sch OL-TOU Cust Fcst'!$H$40+'Sch AL-TOU TSM Summary'!O29*'Sch AL-TOU Cust Fcst'!$I$40+'Sch DG-R TSM Summary'!K29*'Sch DG-R Cust Fcst'!$H$40+'Sch A6-TOU TSM Summary'!K29*'Sch A6-TOU Cust Fcst '!$D$40)/('Sch OL-TOU Cust Fcst'!$H$40+'Sch AL-TOU Cust Fcst'!$I$40+'Sch DG-R Cust Fcst'!$H$40+'Sch A6-TOU Cust Fcst '!$D$40)</f>
        <v>495.4927907119723</v>
      </c>
      <c r="P29" s="134"/>
      <c r="Q29" s="44">
        <f>('Sch OL-TOU TSM Summary'!E29*'Sch OL-TOU Cust Fcst'!$H$38+'Sch AL-TOU TSM Summary'!Q29*'Sch AL-TOU Cust Fcst'!$I$38+'Sch DG-R TSM Summary'!M29*'Sch DG-R Cust Fcst'!$H$38+'Sch A6-TOU TSM Summary'!M29*'Sch A6-TOU Cust Fcst '!$D$38)/('Sch OL-TOU Cust Fcst'!$H$38+'Sch AL-TOU Cust Fcst'!$I$38+'Sch DG-R Cust Fcst'!$H$38+'Sch A6-TOU Cust Fcst '!$D$38)</f>
        <v>504.03663566150959</v>
      </c>
    </row>
    <row r="30" spans="1:17">
      <c r="A30" s="118"/>
      <c r="B30" s="10"/>
      <c r="C30" s="27"/>
      <c r="D30" s="27"/>
      <c r="E30" s="81"/>
      <c r="F30" s="10"/>
      <c r="G30" s="27"/>
      <c r="H30" s="27"/>
      <c r="I30" s="81"/>
      <c r="J30" s="10"/>
      <c r="K30" s="27"/>
      <c r="L30" s="27"/>
      <c r="M30" s="81"/>
      <c r="N30" s="10"/>
      <c r="O30" s="27"/>
      <c r="P30" s="27"/>
      <c r="Q30" s="81"/>
    </row>
    <row r="31" spans="1:17">
      <c r="A31" s="117" t="s">
        <v>57</v>
      </c>
      <c r="B31" s="115">
        <f>('Sch OL-TOU TSM Summary'!B31*'Sch OL-TOU Cust Fcst'!$F$39+'Sch AL-TOU TSM Summary'!B31*'Sch AL-TOU Cust Fcst'!$F$39+'Sch DG-R TSM Summary'!B31*'Sch DG-R Cust Fcst'!$F$39)/('Sch OL-TOU Cust Fcst'!$F$39+'Sch AL-TOU Cust Fcst'!$F$39+'Sch DG-R Cust Fcst'!$F$39)</f>
        <v>447.86258547437507</v>
      </c>
      <c r="C31" s="134">
        <f>('Sch OL-TOU TSM Summary'!E31*'Sch OL-TOU Cust Fcst'!$F$40+'Sch AL-TOU TSM Summary'!C31*'Sch AL-TOU Cust Fcst'!$F$40+'Sch DG-R TSM Summary'!C31*'Sch DG-R Cust Fcst'!$F$40)/('Sch OL-TOU Cust Fcst'!$F$40+'Sch AL-TOU Cust Fcst'!$F$40+'Sch DG-R Cust Fcst'!$F$40)</f>
        <v>447.86258547437507</v>
      </c>
      <c r="D31" s="134"/>
      <c r="E31" s="44">
        <f>('Sch OL-TOU TSM Summary'!E31*'Sch OL-TOU Cust Fcst'!$F$38+'Sch AL-TOU TSM Summary'!E31*'Sch AL-TOU Cust Fcst'!$F$38+'Sch DG-R TSM Summary'!E31*'Sch DG-R Cust Fcst'!$F$38)/('Sch OL-TOU Cust Fcst'!$F$38+'Sch AL-TOU Cust Fcst'!$F$38+'Sch DG-R Cust Fcst'!$F$38)</f>
        <v>447.86258547437507</v>
      </c>
      <c r="F31" s="115">
        <f>('Sch AL-TOU TSM Summary'!F31*'Sch AL-TOU Cust Fcst'!$G$39+'Sch DG-R TSM Summary'!F31*'Sch DG-R Cust Fcst'!$G$39+'Sch A6-TOU TSM Summary'!B31*'Sch A6-TOU Cust Fcst '!$B$39)/('Sch AL-TOU Cust Fcst'!$G$39+'Sch DG-R Cust Fcst'!$G$39+'Sch A6-TOU Cust Fcst '!$B$39)</f>
        <v>447.86258547437512</v>
      </c>
      <c r="G31" s="134">
        <f>('Sch AL-TOU TSM Summary'!G31*'Sch AL-TOU Cust Fcst'!$G$40+'Sch DG-R TSM Summary'!G31*'Sch DG-R Cust Fcst'!$G$40+'Sch A6-TOU TSM Summary'!C31*'Sch A6-TOU Cust Fcst '!$B$40)/('Sch AL-TOU Cust Fcst'!$G$40+'Sch DG-R Cust Fcst'!$G$40+'Sch A6-TOU Cust Fcst '!$B$40)</f>
        <v>447.86258547437512</v>
      </c>
      <c r="H31" s="134"/>
      <c r="I31" s="44">
        <f>('Sch AL-TOU TSM Summary'!I31*'Sch AL-TOU Cust Fcst'!$G$38+'Sch DG-R TSM Summary'!I31*'Sch DG-R Cust Fcst'!$G$38+'Sch A6-TOU TSM Summary'!E31*'Sch A6-TOU Cust Fcst '!$B$38)/('Sch AL-TOU Cust Fcst'!$G$38+'Sch DG-R Cust Fcst'!$G$38+'Sch A6-TOU Cust Fcst '!$B$38)</f>
        <v>447.86258547437512</v>
      </c>
      <c r="J31" s="115"/>
      <c r="K31" s="134"/>
      <c r="L31" s="134"/>
      <c r="M31" s="44"/>
      <c r="N31" s="115">
        <f>('Sch OL-TOU TSM Summary'!B31*'Sch OL-TOU Cust Fcst'!$H$39+'Sch AL-TOU TSM Summary'!N31*'Sch AL-TOU Cust Fcst'!$I$39+'Sch DG-R TSM Summary'!J31*'Sch DG-R Cust Fcst'!$H$39+'Sch A6-TOU TSM Summary'!J31*'Sch A6-TOU Cust Fcst '!$D$39)/('Sch OL-TOU Cust Fcst'!$H$39+'Sch AL-TOU Cust Fcst'!$I$39+'Sch DG-R Cust Fcst'!$H$39+'Sch A6-TOU Cust Fcst '!$D$39)</f>
        <v>447.86258547437501</v>
      </c>
      <c r="O31" s="134">
        <f>('Sch OL-TOU TSM Summary'!C31*'Sch OL-TOU Cust Fcst'!$H$40+'Sch AL-TOU TSM Summary'!O31*'Sch AL-TOU Cust Fcst'!$I$40+'Sch DG-R TSM Summary'!K31*'Sch DG-R Cust Fcst'!$H$40+'Sch A6-TOU TSM Summary'!K31*'Sch A6-TOU Cust Fcst '!$D$40)/('Sch OL-TOU Cust Fcst'!$H$40+'Sch AL-TOU Cust Fcst'!$I$40+'Sch DG-R Cust Fcst'!$H$40+'Sch A6-TOU Cust Fcst '!$D$40)</f>
        <v>447.86258547437512</v>
      </c>
      <c r="P31" s="134"/>
      <c r="Q31" s="44">
        <f>('Sch OL-TOU TSM Summary'!E31*'Sch OL-TOU Cust Fcst'!$H$38+'Sch AL-TOU TSM Summary'!Q31*'Sch AL-TOU Cust Fcst'!$I$38+'Sch DG-R TSM Summary'!M31*'Sch DG-R Cust Fcst'!$H$38+'Sch A6-TOU TSM Summary'!M31*'Sch A6-TOU Cust Fcst '!$D$38)/('Sch OL-TOU Cust Fcst'!$H$38+'Sch AL-TOU Cust Fcst'!$I$38+'Sch DG-R Cust Fcst'!$H$38+'Sch A6-TOU Cust Fcst '!$D$38)</f>
        <v>447.86258547437507</v>
      </c>
    </row>
    <row r="32" spans="1:17" ht="13.5" thickBot="1">
      <c r="A32" s="11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  <c r="N32" s="116"/>
      <c r="O32" s="87"/>
      <c r="P32" s="87"/>
      <c r="Q32" s="88"/>
    </row>
    <row r="33" spans="1:17" ht="13.5" thickBot="1">
      <c r="A33" s="385" t="s">
        <v>133</v>
      </c>
      <c r="B33" s="282">
        <f t="shared" ref="B33:Q33" si="8">B27+B29+B31</f>
        <v>2244.3579325254141</v>
      </c>
      <c r="C33" s="283">
        <f>C27+C29+C31</f>
        <v>3794.8408629995306</v>
      </c>
      <c r="D33" s="283"/>
      <c r="E33" s="294">
        <f t="shared" si="8"/>
        <v>2288.7061791616375</v>
      </c>
      <c r="F33" s="282">
        <f t="shared" si="8"/>
        <v>922.71845641699906</v>
      </c>
      <c r="G33" s="283">
        <f t="shared" si="8"/>
        <v>923.58916361306046</v>
      </c>
      <c r="H33" s="283"/>
      <c r="I33" s="294">
        <f t="shared" si="8"/>
        <v>922.96933815145758</v>
      </c>
      <c r="J33" s="282"/>
      <c r="K33" s="283"/>
      <c r="L33" s="283"/>
      <c r="M33" s="294"/>
      <c r="N33" s="282">
        <f t="shared" si="8"/>
        <v>2178.6604653807362</v>
      </c>
      <c r="O33" s="283">
        <f t="shared" si="8"/>
        <v>2782.0506356205451</v>
      </c>
      <c r="P33" s="283"/>
      <c r="Q33" s="294">
        <f t="shared" si="8"/>
        <v>2205.4639543480002</v>
      </c>
    </row>
    <row r="34" spans="1:17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6" spans="1:17">
      <c r="A36" t="s">
        <v>3</v>
      </c>
    </row>
    <row r="44" spans="1:17">
      <c r="A44" s="19"/>
    </row>
    <row r="56" spans="1:1">
      <c r="A56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72">
    <tabColor rgb="FFFFC000"/>
  </sheetPr>
  <dimension ref="A1:Q58"/>
  <sheetViews>
    <sheetView topLeftCell="B1" zoomScaleNormal="100" workbookViewId="0">
      <selection activeCell="J7" sqref="J7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8.7109375" style="12" bestFit="1" customWidth="1"/>
    <col min="5" max="5" width="14.7109375" style="12" bestFit="1" customWidth="1"/>
    <col min="6" max="6" width="14" style="12" bestFit="1" customWidth="1"/>
    <col min="7" max="7" width="17.140625" style="12" bestFit="1" customWidth="1"/>
    <col min="8" max="8" width="14.85546875" style="12" bestFit="1" customWidth="1"/>
    <col min="9" max="9" width="14" style="12" bestFit="1" customWidth="1"/>
    <col min="10" max="10" width="15.140625" style="12" bestFit="1" customWidth="1"/>
    <col min="11" max="11" width="17.140625" style="12" bestFit="1" customWidth="1"/>
    <col min="12" max="12" width="16.28515625" style="12" bestFit="1" customWidth="1"/>
    <col min="13" max="13" width="14.85546875" style="12" bestFit="1" customWidth="1"/>
    <col min="14" max="14" width="14.7109375" bestFit="1" customWidth="1"/>
    <col min="15" max="15" width="17.140625" bestFit="1" customWidth="1"/>
    <col min="16" max="16" width="16.5703125" bestFit="1" customWidth="1"/>
    <col min="17" max="17" width="14.7109375" bestFit="1" customWidth="1"/>
  </cols>
  <sheetData>
    <row r="1" spans="1:17" ht="18.75" thickBot="1">
      <c r="A1" s="741" t="s">
        <v>363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  <c r="N1" s="760"/>
      <c r="O1" s="760"/>
      <c r="P1" s="760"/>
      <c r="Q1" s="760"/>
    </row>
    <row r="2" spans="1:17" ht="13.5" thickBot="1">
      <c r="A2" s="103"/>
      <c r="B2" s="751" t="s">
        <v>0</v>
      </c>
      <c r="C2" s="745"/>
      <c r="D2" s="745"/>
      <c r="E2" s="746"/>
      <c r="F2" s="742" t="s">
        <v>1</v>
      </c>
      <c r="G2" s="743"/>
      <c r="H2" s="743"/>
      <c r="I2" s="744"/>
      <c r="J2" s="742" t="s">
        <v>87</v>
      </c>
      <c r="K2" s="743"/>
      <c r="L2" s="743"/>
      <c r="M2" s="744"/>
      <c r="N2" s="742" t="s">
        <v>196</v>
      </c>
      <c r="O2" s="743"/>
      <c r="P2" s="743"/>
      <c r="Q2" s="744"/>
    </row>
    <row r="3" spans="1:17" ht="13.5" thickBot="1">
      <c r="A3" s="77" t="s">
        <v>47</v>
      </c>
      <c r="B3" s="302" t="s">
        <v>152</v>
      </c>
      <c r="C3" s="303" t="s">
        <v>124</v>
      </c>
      <c r="D3" s="303" t="s">
        <v>88</v>
      </c>
      <c r="E3" s="451" t="s">
        <v>2</v>
      </c>
      <c r="F3" s="302" t="s">
        <v>152</v>
      </c>
      <c r="G3" s="303" t="s">
        <v>124</v>
      </c>
      <c r="H3" s="303" t="s">
        <v>88</v>
      </c>
      <c r="I3" s="451" t="s">
        <v>2</v>
      </c>
      <c r="J3" s="302" t="s">
        <v>152</v>
      </c>
      <c r="K3" s="303" t="s">
        <v>124</v>
      </c>
      <c r="L3" s="303" t="s">
        <v>88</v>
      </c>
      <c r="M3" s="451" t="s">
        <v>2</v>
      </c>
      <c r="N3" s="302" t="s">
        <v>152</v>
      </c>
      <c r="O3" s="303" t="s">
        <v>124</v>
      </c>
      <c r="P3" s="303" t="s">
        <v>88</v>
      </c>
      <c r="Q3" s="451" t="s">
        <v>2</v>
      </c>
    </row>
    <row r="4" spans="1:17">
      <c r="A4" s="380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>
      <c r="A7" s="381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>
      <c r="A8" s="117" t="s">
        <v>53</v>
      </c>
      <c r="B8" s="115">
        <f>'M-L C&amp;I TSM Summary'!B8*Inputs!$C$12</f>
        <v>13154.247854797635</v>
      </c>
      <c r="C8" s="134">
        <f>'M-L C&amp;I TSM Summary'!C8*Inputs!$C$12</f>
        <v>28884.477777157823</v>
      </c>
      <c r="D8" s="134"/>
      <c r="E8" s="44">
        <f>'M-L C&amp;I TSM Summary'!E8*Inputs!$C$12</f>
        <v>13604.177423534007</v>
      </c>
      <c r="F8" s="115">
        <f>'M-L C&amp;I TSM Summary'!F8*Inputs!$C$12</f>
        <v>0</v>
      </c>
      <c r="G8" s="134">
        <f>'M-L C&amp;I TSM Summary'!G8*Inputs!$C$12</f>
        <v>0</v>
      </c>
      <c r="H8" s="134">
        <f>'M-L C&amp;I TSM Summary'!H8*Inputs!$C$12</f>
        <v>0</v>
      </c>
      <c r="I8" s="44">
        <f>'M-L C&amp;I TSM Summary'!I8*Inputs!$C$12</f>
        <v>0</v>
      </c>
      <c r="J8" s="115"/>
      <c r="K8" s="134"/>
      <c r="L8" s="134"/>
      <c r="M8" s="44"/>
      <c r="N8" s="115">
        <f>'M-L C&amp;I TSM Summary'!N8*Inputs!$C$12</f>
        <v>12556.973898147366</v>
      </c>
      <c r="O8" s="134">
        <f>'M-L C&amp;I TSM Summary'!O8*Inputs!$C$12</f>
        <v>17465.033074560542</v>
      </c>
      <c r="P8" s="134">
        <f>'M-L C&amp;I TSM Summary'!P8*Inputs!$C$12</f>
        <v>0</v>
      </c>
      <c r="Q8" s="44">
        <f>'M-L C&amp;I TSM Summary'!Q8*Inputs!$C$12</f>
        <v>12774.997188008691</v>
      </c>
    </row>
    <row r="9" spans="1:17">
      <c r="A9" s="117" t="s">
        <v>51</v>
      </c>
      <c r="B9" s="115">
        <f>'M-L C&amp;I TSM Summary'!B9*Inputs!$C$12</f>
        <v>2610.434488458824</v>
      </c>
      <c r="C9" s="134">
        <f>'M-L C&amp;I TSM Summary'!C9*Inputs!$C$12</f>
        <v>7182.7881315781187</v>
      </c>
      <c r="D9" s="134"/>
      <c r="E9" s="44">
        <f>'M-L C&amp;I TSM Summary'!E9*Inputs!$C$12</f>
        <v>2741.2168808912788</v>
      </c>
      <c r="F9" s="115">
        <f>'M-L C&amp;I TSM Summary'!F9*Inputs!$C$12</f>
        <v>3396.4220443713425</v>
      </c>
      <c r="G9" s="134">
        <f>'M-L C&amp;I TSM Summary'!G9*Inputs!$C$12</f>
        <v>3396.4220443713421</v>
      </c>
      <c r="H9" s="134">
        <f>'M-L C&amp;I TSM Summary'!H9*Inputs!$C$12</f>
        <v>0</v>
      </c>
      <c r="I9" s="44">
        <f>'M-L C&amp;I TSM Summary'!I9*Inputs!$C$12</f>
        <v>3396.422044371343</v>
      </c>
      <c r="J9" s="115"/>
      <c r="K9" s="134"/>
      <c r="L9" s="134"/>
      <c r="M9" s="44"/>
      <c r="N9" s="115">
        <f>'M-L C&amp;I TSM Summary'!N9*Inputs!$C$12</f>
        <v>2646.1225720786356</v>
      </c>
      <c r="O9" s="134">
        <f>'M-L C&amp;I TSM Summary'!O9*Inputs!$C$12</f>
        <v>5685.8527017521856</v>
      </c>
      <c r="P9" s="134">
        <f>'M-L C&amp;I TSM Summary'!P9*Inputs!$C$12</f>
        <v>0</v>
      </c>
      <c r="Q9" s="44">
        <f>'M-L C&amp;I TSM Summary'!Q9*Inputs!$C$12</f>
        <v>2781.1519063513242</v>
      </c>
    </row>
    <row r="10" spans="1:17">
      <c r="A10" s="117" t="s">
        <v>52</v>
      </c>
      <c r="B10" s="115">
        <f>'M-L C&amp;I TSM Summary'!B10*Inputs!$C$12</f>
        <v>707.93763763355173</v>
      </c>
      <c r="C10" s="134">
        <f>'M-L C&amp;I TSM Summary'!C10*Inputs!$C$12</f>
        <v>928.11620551141755</v>
      </c>
      <c r="D10" s="134"/>
      <c r="E10" s="44">
        <f>'M-L C&amp;I TSM Summary'!E10*Inputs!$C$12</f>
        <v>714.23537444854037</v>
      </c>
      <c r="F10" s="115">
        <f>'M-L C&amp;I TSM Summary'!F10*Inputs!$C$12</f>
        <v>1030.3899113412165</v>
      </c>
      <c r="G10" s="134">
        <f>'M-L C&amp;I TSM Summary'!G10*Inputs!$C$12</f>
        <v>1038.2571194819702</v>
      </c>
      <c r="H10" s="134">
        <f>'M-L C&amp;I TSM Summary'!H10*Inputs!$C$12</f>
        <v>0</v>
      </c>
      <c r="I10" s="44">
        <f>'M-L C&amp;I TSM Summary'!I10*Inputs!$C$12</f>
        <v>1032.6567340258405</v>
      </c>
      <c r="J10" s="115"/>
      <c r="K10" s="134"/>
      <c r="L10" s="134"/>
      <c r="M10" s="44"/>
      <c r="N10" s="115">
        <f>'M-L C&amp;I TSM Summary'!N10*Inputs!$C$12</f>
        <v>722.57871384514328</v>
      </c>
      <c r="O10" s="134">
        <f>'M-L C&amp;I TSM Summary'!O10*Inputs!$C$12</f>
        <v>971.66028777884537</v>
      </c>
      <c r="P10" s="134">
        <f>'M-L C&amp;I TSM Summary'!P10*Inputs!$C$12</f>
        <v>0</v>
      </c>
      <c r="Q10" s="44">
        <f>'M-L C&amp;I TSM Summary'!Q10*Inputs!$C$12</f>
        <v>733.64328789385149</v>
      </c>
    </row>
    <row r="11" spans="1:17">
      <c r="A11" s="382"/>
      <c r="B11" s="114"/>
      <c r="C11" s="30"/>
      <c r="D11" s="30"/>
      <c r="E11" s="44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>
      <c r="A12" s="117" t="s">
        <v>35</v>
      </c>
      <c r="B12" s="114">
        <f t="shared" ref="B12:I12" si="0">SUM(B8:B10)</f>
        <v>16472.619980890013</v>
      </c>
      <c r="C12" s="30">
        <f t="shared" si="0"/>
        <v>36995.382114247361</v>
      </c>
      <c r="D12" s="30"/>
      <c r="E12" s="40">
        <f t="shared" si="0"/>
        <v>17059.629678873825</v>
      </c>
      <c r="F12" s="114">
        <f t="shared" si="0"/>
        <v>4426.8119557125592</v>
      </c>
      <c r="G12" s="30">
        <f t="shared" si="0"/>
        <v>4434.6791638533123</v>
      </c>
      <c r="H12" s="30">
        <f t="shared" si="0"/>
        <v>0</v>
      </c>
      <c r="I12" s="40">
        <f t="shared" si="0"/>
        <v>4429.0787783971837</v>
      </c>
      <c r="J12" s="114"/>
      <c r="K12" s="30"/>
      <c r="L12" s="30"/>
      <c r="M12" s="40"/>
      <c r="N12" s="114">
        <f t="shared" ref="N12:Q12" si="1">SUM(N8:N10)</f>
        <v>15925.675184071144</v>
      </c>
      <c r="O12" s="30">
        <f t="shared" si="1"/>
        <v>24122.546064091573</v>
      </c>
      <c r="P12" s="30">
        <f t="shared" si="1"/>
        <v>0</v>
      </c>
      <c r="Q12" s="40">
        <f t="shared" si="1"/>
        <v>16289.792382253867</v>
      </c>
    </row>
    <row r="13" spans="1:17">
      <c r="A13" s="382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>
      <c r="A15" s="383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>
      <c r="A18" s="384" t="s">
        <v>97</v>
      </c>
      <c r="B18" s="114">
        <f>(B8*(1+$A$15)*(1+$A$17))</f>
        <v>13722.02670018449</v>
      </c>
      <c r="C18" s="30">
        <f t="shared" ref="C18:E18" si="2">(C8*(1+$A$15)*(1+$A$17))</f>
        <v>30131.22298242895</v>
      </c>
      <c r="D18" s="30"/>
      <c r="E18" s="40">
        <f t="shared" si="2"/>
        <v>14191.376648851545</v>
      </c>
      <c r="F18" s="114">
        <f t="shared" ref="F18:Q18" si="3">(F8*(1+$A$15)*(1+$A$17))</f>
        <v>0</v>
      </c>
      <c r="G18" s="30">
        <f t="shared" si="3"/>
        <v>0</v>
      </c>
      <c r="H18" s="30">
        <f t="shared" si="3"/>
        <v>0</v>
      </c>
      <c r="I18" s="40">
        <f t="shared" si="3"/>
        <v>0</v>
      </c>
      <c r="J18" s="114"/>
      <c r="K18" s="30"/>
      <c r="L18" s="30"/>
      <c r="M18" s="40"/>
      <c r="N18" s="114">
        <f t="shared" si="3"/>
        <v>13098.972514878818</v>
      </c>
      <c r="O18" s="30">
        <f t="shared" si="3"/>
        <v>18218.879012631456</v>
      </c>
      <c r="P18" s="30">
        <f t="shared" si="3"/>
        <v>0</v>
      </c>
      <c r="Q18" s="40">
        <f t="shared" si="3"/>
        <v>13326.406377898817</v>
      </c>
    </row>
    <row r="19" spans="1:17">
      <c r="A19" s="384" t="s">
        <v>51</v>
      </c>
      <c r="B19" s="114">
        <f t="shared" ref="B19:E20" si="4">(B9*(1+$A$15)*(1+$A$17))</f>
        <v>2723.1090781560683</v>
      </c>
      <c r="C19" s="30">
        <f t="shared" si="4"/>
        <v>7492.8199324855659</v>
      </c>
      <c r="D19" s="30"/>
      <c r="E19" s="40">
        <f t="shared" si="4"/>
        <v>2859.5364513272084</v>
      </c>
      <c r="F19" s="114">
        <f t="shared" ref="F19:Q19" si="5">(F9*(1+$A$15)*(1+$A$17))</f>
        <v>3543.0223371502479</v>
      </c>
      <c r="G19" s="30">
        <f t="shared" si="5"/>
        <v>3543.0223371502475</v>
      </c>
      <c r="H19" s="30">
        <f t="shared" si="5"/>
        <v>0</v>
      </c>
      <c r="I19" s="40">
        <f t="shared" si="5"/>
        <v>3543.0223371502484</v>
      </c>
      <c r="J19" s="114"/>
      <c r="K19" s="30"/>
      <c r="L19" s="30"/>
      <c r="M19" s="40"/>
      <c r="N19" s="114">
        <f t="shared" si="5"/>
        <v>2760.3375720779663</v>
      </c>
      <c r="O19" s="30">
        <f t="shared" si="5"/>
        <v>5931.2720459576512</v>
      </c>
      <c r="P19" s="30">
        <f t="shared" si="5"/>
        <v>0</v>
      </c>
      <c r="Q19" s="40">
        <f t="shared" si="5"/>
        <v>2901.1951985003075</v>
      </c>
    </row>
    <row r="20" spans="1:17">
      <c r="A20" s="384" t="s">
        <v>52</v>
      </c>
      <c r="B20" s="114">
        <f t="shared" si="4"/>
        <v>738.49445995729081</v>
      </c>
      <c r="C20" s="30">
        <f t="shared" si="4"/>
        <v>968.17662959396262</v>
      </c>
      <c r="D20" s="30"/>
      <c r="E20" s="40">
        <f t="shared" si="4"/>
        <v>745.06402696560053</v>
      </c>
      <c r="F20" s="114">
        <f t="shared" ref="F20:Q20" si="6">(F10*(1+$A$15)*(1+$A$17))</f>
        <v>1074.8647912900692</v>
      </c>
      <c r="G20" s="30">
        <f t="shared" si="6"/>
        <v>1083.0715729590006</v>
      </c>
      <c r="H20" s="30">
        <f t="shared" si="6"/>
        <v>0</v>
      </c>
      <c r="I20" s="40">
        <f t="shared" si="6"/>
        <v>1077.2294571946766</v>
      </c>
      <c r="J20" s="114"/>
      <c r="K20" s="30"/>
      <c r="L20" s="30"/>
      <c r="M20" s="40"/>
      <c r="N20" s="114">
        <f t="shared" si="6"/>
        <v>753.76749121780631</v>
      </c>
      <c r="O20" s="30">
        <f t="shared" si="6"/>
        <v>1013.600211854559</v>
      </c>
      <c r="P20" s="30">
        <f t="shared" si="6"/>
        <v>0</v>
      </c>
      <c r="Q20" s="40">
        <f t="shared" si="6"/>
        <v>765.30964719650547</v>
      </c>
    </row>
    <row r="21" spans="1:17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>
      <c r="A22" s="117" t="s">
        <v>35</v>
      </c>
      <c r="B22" s="119">
        <f t="shared" ref="B22:Q22" si="7">B18+B19+B20</f>
        <v>17183.63023829785</v>
      </c>
      <c r="C22" s="73">
        <f t="shared" si="7"/>
        <v>38592.219544508473</v>
      </c>
      <c r="D22" s="73"/>
      <c r="E22" s="75">
        <f t="shared" si="7"/>
        <v>17795.977127144353</v>
      </c>
      <c r="F22" s="119">
        <f t="shared" si="7"/>
        <v>4617.8871284403176</v>
      </c>
      <c r="G22" s="73">
        <f t="shared" si="7"/>
        <v>4626.0939101092481</v>
      </c>
      <c r="H22" s="73">
        <f t="shared" si="7"/>
        <v>0</v>
      </c>
      <c r="I22" s="75">
        <f t="shared" si="7"/>
        <v>4620.2517943449247</v>
      </c>
      <c r="J22" s="119"/>
      <c r="K22" s="73"/>
      <c r="L22" s="73"/>
      <c r="M22" s="75"/>
      <c r="N22" s="119">
        <f t="shared" si="7"/>
        <v>16613.077578174591</v>
      </c>
      <c r="O22" s="73">
        <f t="shared" si="7"/>
        <v>25163.751270443667</v>
      </c>
      <c r="P22" s="73">
        <f t="shared" si="7"/>
        <v>0</v>
      </c>
      <c r="Q22" s="75">
        <f t="shared" si="7"/>
        <v>16992.911223595627</v>
      </c>
    </row>
    <row r="23" spans="1:17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>
      <c r="A24" s="384" t="str">
        <f>'Resid TSM Sum by Rate Schedule'!A25</f>
        <v>Annualized Transformer Cost at 8.05%</v>
      </c>
      <c r="B24" s="119">
        <f>B18*Inputs!$C$5</f>
        <v>1104.3303560802308</v>
      </c>
      <c r="C24" s="73">
        <f>C18*Inputs!$C$5</f>
        <v>2424.9205261254315</v>
      </c>
      <c r="D24" s="73"/>
      <c r="E24" s="75">
        <f>E18*Inputs!$C$5</f>
        <v>1142.1030122091361</v>
      </c>
      <c r="F24" s="119">
        <f>F18*Inputs!$C$5</f>
        <v>0</v>
      </c>
      <c r="G24" s="73">
        <f>G18*Inputs!$C$5</f>
        <v>0</v>
      </c>
      <c r="H24" s="73">
        <f>H18*Inputs!$C$5</f>
        <v>0</v>
      </c>
      <c r="I24" s="75">
        <f>I18*Inputs!$C$5</f>
        <v>0</v>
      </c>
      <c r="J24" s="119"/>
      <c r="K24" s="73"/>
      <c r="L24" s="73"/>
      <c r="M24" s="75"/>
      <c r="N24" s="119">
        <f>N18*Inputs!$C$5</f>
        <v>1054.1877885609124</v>
      </c>
      <c r="O24" s="73">
        <f>O18*Inputs!$C$5</f>
        <v>1466.2310157967725</v>
      </c>
      <c r="P24" s="73">
        <f>P18*Inputs!$C$5</f>
        <v>0</v>
      </c>
      <c r="Q24" s="75">
        <f>Q18*Inputs!$C$5</f>
        <v>1072.4913616715958</v>
      </c>
    </row>
    <row r="25" spans="1:17">
      <c r="A25" s="384" t="str">
        <f>'Resid TSM Sum by Rate Schedule'!A26</f>
        <v>Annualized Services Cost at 7.08%</v>
      </c>
      <c r="B25" s="119">
        <f>B19*Inputs!$C$6</f>
        <v>192.72820823437755</v>
      </c>
      <c r="C25" s="73">
        <f>C19*Inputs!$C$6</f>
        <v>530.30477985429025</v>
      </c>
      <c r="D25" s="73"/>
      <c r="E25" s="75">
        <f>E19*Inputs!$C$6</f>
        <v>202.38386374825839</v>
      </c>
      <c r="F25" s="119">
        <f>F19*Inputs!$C$6</f>
        <v>250.75761828671364</v>
      </c>
      <c r="G25" s="73">
        <f>G19*Inputs!$C$6</f>
        <v>250.75761828671361</v>
      </c>
      <c r="H25" s="73">
        <f>H19*Inputs!$C$6</f>
        <v>0</v>
      </c>
      <c r="I25" s="75">
        <f>I19*Inputs!$C$6</f>
        <v>250.75761828671367</v>
      </c>
      <c r="J25" s="119"/>
      <c r="K25" s="73"/>
      <c r="L25" s="73"/>
      <c r="M25" s="75"/>
      <c r="N25" s="119">
        <f>N19*Inputs!$C$6</f>
        <v>195.3630571232404</v>
      </c>
      <c r="O25" s="73">
        <f>O19*Inputs!$C$6</f>
        <v>419.78613458338799</v>
      </c>
      <c r="P25" s="73">
        <f>P19*Inputs!$C$6</f>
        <v>0</v>
      </c>
      <c r="Q25" s="75">
        <f>Q19*Inputs!$C$6</f>
        <v>205.33226407653206</v>
      </c>
    </row>
    <row r="26" spans="1:17" ht="15">
      <c r="A26" s="384" t="str">
        <f>'Resid TSM Sum by Rate Schedule'!A27</f>
        <v>Annualized Meter Cost at 10.78%</v>
      </c>
      <c r="B26" s="465">
        <f>B20*Inputs!$C$7</f>
        <v>79.584925811650947</v>
      </c>
      <c r="C26" s="464">
        <f>C20*Inputs!$C$7</f>
        <v>104.33695771159329</v>
      </c>
      <c r="D26" s="464"/>
      <c r="E26" s="463">
        <f>E20*Inputs!$C$7</f>
        <v>80.292904721880319</v>
      </c>
      <c r="F26" s="465">
        <f>F20*Inputs!$C$7</f>
        <v>115.83436208488689</v>
      </c>
      <c r="G26" s="464">
        <f>G20*Inputs!$C$7</f>
        <v>116.7187778059095</v>
      </c>
      <c r="H26" s="464">
        <f>H20*Inputs!$C$7</f>
        <v>0</v>
      </c>
      <c r="I26" s="463">
        <f>I20*Inputs!$C$7</f>
        <v>116.08919373331715</v>
      </c>
      <c r="J26" s="465"/>
      <c r="K26" s="464"/>
      <c r="L26" s="464"/>
      <c r="M26" s="463"/>
      <c r="N26" s="465">
        <f>N20*Inputs!$C$7</f>
        <v>81.230846161354648</v>
      </c>
      <c r="O26" s="464">
        <f>O20*Inputs!$C$7</f>
        <v>109.23209588841597</v>
      </c>
      <c r="P26" s="464">
        <f>P20*Inputs!$C$7</f>
        <v>0</v>
      </c>
      <c r="Q26" s="463">
        <f>Q20*Inputs!$C$7</f>
        <v>82.474703328982415</v>
      </c>
    </row>
    <row r="27" spans="1:17">
      <c r="A27" s="459" t="s">
        <v>312</v>
      </c>
      <c r="B27" s="119">
        <f>SUM(B24:B26)</f>
        <v>1376.6434901262592</v>
      </c>
      <c r="C27" s="73">
        <f t="shared" ref="C27:Q27" si="8">SUM(C24:C26)</f>
        <v>3059.5622636913149</v>
      </c>
      <c r="D27" s="73"/>
      <c r="E27" s="75">
        <f t="shared" si="8"/>
        <v>1424.7797806792748</v>
      </c>
      <c r="F27" s="119">
        <f t="shared" si="8"/>
        <v>366.59198037160053</v>
      </c>
      <c r="G27" s="73">
        <f t="shared" si="8"/>
        <v>367.47639609262308</v>
      </c>
      <c r="H27" s="73">
        <f t="shared" si="8"/>
        <v>0</v>
      </c>
      <c r="I27" s="75">
        <f t="shared" si="8"/>
        <v>366.84681202003082</v>
      </c>
      <c r="J27" s="119"/>
      <c r="K27" s="73"/>
      <c r="L27" s="73"/>
      <c r="M27" s="75"/>
      <c r="N27" s="119">
        <f t="shared" si="8"/>
        <v>1330.7816918455076</v>
      </c>
      <c r="O27" s="73">
        <f t="shared" si="8"/>
        <v>1995.2492462685764</v>
      </c>
      <c r="P27" s="73">
        <f t="shared" si="8"/>
        <v>0</v>
      </c>
      <c r="Q27" s="75">
        <f t="shared" si="8"/>
        <v>1360.2983290771103</v>
      </c>
    </row>
    <row r="28" spans="1:17">
      <c r="A28" s="383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>
      <c r="A29" s="36" t="s">
        <v>50</v>
      </c>
      <c r="B29" s="115">
        <f>'M-L C&amp;I TSM Summary'!B$29*Inputs!$C$13</f>
        <v>556.13408165721307</v>
      </c>
      <c r="C29" s="134">
        <f>'M-L C&amp;I TSM Summary'!C$29*Inputs!$C$13</f>
        <v>555.72492713250904</v>
      </c>
      <c r="D29" s="134"/>
      <c r="E29" s="44">
        <f>'M-L C&amp;I TSM Summary'!E$29*Inputs!$C$13</f>
        <v>556.12237866750775</v>
      </c>
      <c r="F29" s="115">
        <f>'M-L C&amp;I TSM Summary'!F$29*Inputs!$C$13</f>
        <v>144.36546937462475</v>
      </c>
      <c r="G29" s="134">
        <f>'M-L C&amp;I TSM Summary'!G$29*Inputs!$C$13</f>
        <v>144.4241369346083</v>
      </c>
      <c r="H29" s="134">
        <f>'M-L C&amp;I TSM Summary'!H$29*Inputs!$C$13</f>
        <v>0</v>
      </c>
      <c r="I29" s="44">
        <f>'M-L C&amp;I TSM Summary'!I$29*Inputs!$C$13</f>
        <v>144.38237358682341</v>
      </c>
      <c r="J29" s="115"/>
      <c r="K29" s="134"/>
      <c r="L29" s="134"/>
      <c r="M29" s="44"/>
      <c r="N29" s="115">
        <f>'M-L C&amp;I TSM Summary'!N$29*Inputs!$C$13</f>
        <v>531.44509628199955</v>
      </c>
      <c r="O29" s="134">
        <f>'M-L C&amp;I TSM Summary'!O$29*Inputs!$C$13</f>
        <v>522.02530673342892</v>
      </c>
      <c r="P29" s="134">
        <f>'M-L C&amp;I TSM Summary'!P$29*Inputs!$C$13</f>
        <v>0</v>
      </c>
      <c r="Q29" s="44">
        <f>'M-L C&amp;I TSM Summary'!Q$29*Inputs!$C$13</f>
        <v>531.02665521734195</v>
      </c>
    </row>
    <row r="30" spans="1:17" ht="15">
      <c r="A30" s="36" t="s">
        <v>379</v>
      </c>
      <c r="B30" s="552">
        <f>-Inputs!$C$18</f>
        <v>-3.0284021924274875</v>
      </c>
      <c r="C30" s="551">
        <f>-Inputs!$C$18</f>
        <v>-3.0284021924274875</v>
      </c>
      <c r="D30" s="551"/>
      <c r="E30" s="553">
        <f>-Inputs!$C$18</f>
        <v>-3.0284021924274875</v>
      </c>
      <c r="F30" s="552">
        <f>-Inputs!$C$18</f>
        <v>-3.0284021924274875</v>
      </c>
      <c r="G30" s="551">
        <f>-Inputs!$C$18</f>
        <v>-3.0284021924274875</v>
      </c>
      <c r="H30" s="551">
        <f>-Inputs!$C$18</f>
        <v>-3.0284021924274875</v>
      </c>
      <c r="I30" s="553">
        <f>-Inputs!$C$18</f>
        <v>-3.0284021924274875</v>
      </c>
      <c r="J30" s="552"/>
      <c r="K30" s="551"/>
      <c r="L30" s="551"/>
      <c r="M30" s="553"/>
      <c r="N30" s="552">
        <f>-Inputs!$C$18</f>
        <v>-3.0284021924274875</v>
      </c>
      <c r="O30" s="551">
        <f>-Inputs!$C$18</f>
        <v>-3.0284021924274875</v>
      </c>
      <c r="P30" s="551">
        <f>-Inputs!$C$18</f>
        <v>-3.0284021924274875</v>
      </c>
      <c r="Q30" s="553">
        <f>-Inputs!$C$18</f>
        <v>-3.0284021924274875</v>
      </c>
    </row>
    <row r="31" spans="1:17">
      <c r="A31" s="36" t="s">
        <v>377</v>
      </c>
      <c r="B31" s="115">
        <f>B29+B30</f>
        <v>553.10567946478557</v>
      </c>
      <c r="C31" s="134">
        <f t="shared" ref="C31:Q31" si="9">C29+C30</f>
        <v>552.69652494008153</v>
      </c>
      <c r="D31" s="134"/>
      <c r="E31" s="44">
        <f t="shared" si="9"/>
        <v>553.09397647508024</v>
      </c>
      <c r="F31" s="115">
        <f t="shared" si="9"/>
        <v>141.33706718219727</v>
      </c>
      <c r="G31" s="134">
        <f t="shared" si="9"/>
        <v>141.39573474218082</v>
      </c>
      <c r="H31" s="134">
        <f t="shared" si="9"/>
        <v>-3.0284021924274875</v>
      </c>
      <c r="I31" s="44">
        <f t="shared" si="9"/>
        <v>141.35397139439593</v>
      </c>
      <c r="J31" s="115"/>
      <c r="K31" s="134"/>
      <c r="L31" s="134"/>
      <c r="M31" s="44"/>
      <c r="N31" s="115">
        <f t="shared" si="9"/>
        <v>528.41669408957205</v>
      </c>
      <c r="O31" s="134">
        <f t="shared" si="9"/>
        <v>518.99690454100141</v>
      </c>
      <c r="P31" s="134">
        <f t="shared" si="9"/>
        <v>-3.0284021924274875</v>
      </c>
      <c r="Q31" s="44">
        <f t="shared" si="9"/>
        <v>527.99825302491445</v>
      </c>
    </row>
    <row r="32" spans="1:17">
      <c r="A32" s="118"/>
      <c r="B32" s="10"/>
      <c r="C32" s="27"/>
      <c r="D32" s="27"/>
      <c r="E32" s="81"/>
      <c r="F32" s="10"/>
      <c r="G32" s="27"/>
      <c r="H32" s="27"/>
      <c r="I32" s="81"/>
      <c r="J32" s="10"/>
      <c r="K32" s="27"/>
      <c r="L32" s="27"/>
      <c r="M32" s="81"/>
      <c r="N32" s="10"/>
      <c r="O32" s="27"/>
      <c r="P32" s="27"/>
      <c r="Q32" s="81"/>
    </row>
    <row r="33" spans="1:17">
      <c r="A33" s="117" t="s">
        <v>57</v>
      </c>
      <c r="B33" s="115">
        <f>'M-L C&amp;I TSM Summary'!B31*Inputs!$C$14</f>
        <v>481.55031066335573</v>
      </c>
      <c r="C33" s="134">
        <f>'M-L C&amp;I TSM Summary'!C31*Inputs!$C$14</f>
        <v>481.55031066335573</v>
      </c>
      <c r="D33" s="134"/>
      <c r="E33" s="44">
        <f>'M-L C&amp;I TSM Summary'!E31*Inputs!$C$14</f>
        <v>481.55031066335573</v>
      </c>
      <c r="F33" s="115">
        <f>'M-L C&amp;I TSM Summary'!F31*Inputs!$C$14</f>
        <v>481.55031066335579</v>
      </c>
      <c r="G33" s="134">
        <f>'M-L C&amp;I TSM Summary'!G31*Inputs!$C$14</f>
        <v>481.55031066335579</v>
      </c>
      <c r="H33" s="134">
        <f>'M-L C&amp;I TSM Summary'!H31*Inputs!$C$14</f>
        <v>0</v>
      </c>
      <c r="I33" s="44">
        <f>'M-L C&amp;I TSM Summary'!I31*Inputs!$C$14</f>
        <v>481.55031066335579</v>
      </c>
      <c r="J33" s="115"/>
      <c r="K33" s="134"/>
      <c r="L33" s="134"/>
      <c r="M33" s="44"/>
      <c r="N33" s="115">
        <f>'M-L C&amp;I TSM Summary'!N31*Inputs!$C$14</f>
        <v>481.55031066335567</v>
      </c>
      <c r="O33" s="134">
        <f>'M-L C&amp;I TSM Summary'!O31*Inputs!$C$14</f>
        <v>481.55031066335579</v>
      </c>
      <c r="P33" s="134">
        <f>'M-L C&amp;I TSM Summary'!P31*Inputs!$C$14</f>
        <v>0</v>
      </c>
      <c r="Q33" s="44">
        <f>'M-L C&amp;I TSM Summary'!Q31*Inputs!$C$14</f>
        <v>481.55031066335573</v>
      </c>
    </row>
    <row r="34" spans="1:17" ht="13.5" thickBot="1">
      <c r="A34" s="118"/>
      <c r="B34" s="116"/>
      <c r="C34" s="87"/>
      <c r="D34" s="87"/>
      <c r="E34" s="88"/>
      <c r="F34" s="116"/>
      <c r="G34" s="87"/>
      <c r="H34" s="87"/>
      <c r="I34" s="88"/>
      <c r="J34" s="116"/>
      <c r="K34" s="87"/>
      <c r="L34" s="87"/>
      <c r="M34" s="88"/>
      <c r="N34" s="116"/>
      <c r="O34" s="87"/>
      <c r="P34" s="87"/>
      <c r="Q34" s="88"/>
    </row>
    <row r="35" spans="1:17" ht="13.5" thickBot="1">
      <c r="A35" s="385" t="s">
        <v>133</v>
      </c>
      <c r="B35" s="282">
        <f t="shared" ref="B35:Q35" si="10">B27+B31+B33</f>
        <v>2411.2994802544008</v>
      </c>
      <c r="C35" s="283">
        <f>C27+C31+C33</f>
        <v>4093.8090992947518</v>
      </c>
      <c r="D35" s="283"/>
      <c r="E35" s="294">
        <f t="shared" si="10"/>
        <v>2459.4240678177111</v>
      </c>
      <c r="F35" s="282">
        <f t="shared" si="10"/>
        <v>989.4793582171535</v>
      </c>
      <c r="G35" s="283">
        <f t="shared" si="10"/>
        <v>990.42244149815974</v>
      </c>
      <c r="H35" s="283">
        <f t="shared" si="10"/>
        <v>-3.0284021924274875</v>
      </c>
      <c r="I35" s="294">
        <f t="shared" si="10"/>
        <v>989.75109407778245</v>
      </c>
      <c r="J35" s="282"/>
      <c r="K35" s="283"/>
      <c r="L35" s="283"/>
      <c r="M35" s="294"/>
      <c r="N35" s="282">
        <f t="shared" si="10"/>
        <v>2340.7486965984353</v>
      </c>
      <c r="O35" s="283">
        <f t="shared" si="10"/>
        <v>2995.7964614729335</v>
      </c>
      <c r="P35" s="283">
        <f t="shared" si="10"/>
        <v>-3.0284021924274875</v>
      </c>
      <c r="Q35" s="294">
        <f t="shared" si="10"/>
        <v>2369.8468927653803</v>
      </c>
    </row>
    <row r="36" spans="1:17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8" spans="1:17">
      <c r="A38" t="s">
        <v>3</v>
      </c>
      <c r="B38" s="312"/>
      <c r="C38" s="312"/>
      <c r="D38" s="312"/>
      <c r="E38" s="312"/>
      <c r="F38" s="312"/>
      <c r="G38" s="312"/>
      <c r="H38" s="312"/>
      <c r="I38" s="312"/>
      <c r="J38" s="312"/>
      <c r="K38" s="312"/>
      <c r="L38" s="312"/>
      <c r="M38" s="312"/>
      <c r="N38" s="312"/>
      <c r="O38" s="312"/>
      <c r="P38" s="312"/>
      <c r="Q38" s="312"/>
    </row>
    <row r="46" spans="1:17">
      <c r="A46" s="19"/>
    </row>
    <row r="58" spans="1:1">
      <c r="A58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35">
    <tabColor rgb="FFFFC000"/>
    <pageSetUpPr fitToPage="1"/>
  </sheetPr>
  <dimension ref="A1:H47"/>
  <sheetViews>
    <sheetView zoomScaleNormal="100" workbookViewId="0">
      <selection activeCell="E14" sqref="E14"/>
    </sheetView>
  </sheetViews>
  <sheetFormatPr defaultRowHeight="12.75"/>
  <cols>
    <col min="1" max="1" width="25" bestFit="1" customWidth="1"/>
    <col min="2" max="2" width="16" bestFit="1" customWidth="1"/>
    <col min="3" max="3" width="15.42578125" bestFit="1" customWidth="1"/>
    <col min="4" max="5" width="10.7109375" customWidth="1"/>
    <col min="6" max="6" width="12.140625" customWidth="1"/>
    <col min="7" max="8" width="10.7109375" customWidth="1"/>
  </cols>
  <sheetData>
    <row r="1" spans="1:8" ht="18.75" thickBot="1">
      <c r="A1" s="756" t="s">
        <v>158</v>
      </c>
      <c r="B1" s="756"/>
      <c r="C1" s="756"/>
      <c r="D1" s="756"/>
      <c r="E1" s="756"/>
      <c r="F1" s="756"/>
    </row>
    <row r="2" spans="1:8" ht="13.5" thickBot="1">
      <c r="A2" s="309"/>
      <c r="B2" s="742" t="s">
        <v>0</v>
      </c>
      <c r="C2" s="743"/>
      <c r="D2" s="743"/>
      <c r="E2" s="743"/>
      <c r="F2" s="743"/>
      <c r="G2" s="103"/>
      <c r="H2" s="103"/>
    </row>
    <row r="3" spans="1:8" ht="13.5" thickBot="1">
      <c r="A3" s="310" t="s">
        <v>4</v>
      </c>
      <c r="B3" s="74" t="s">
        <v>121</v>
      </c>
      <c r="C3" s="26" t="s">
        <v>100</v>
      </c>
      <c r="D3" s="26" t="s">
        <v>33</v>
      </c>
      <c r="E3" s="26" t="s">
        <v>34</v>
      </c>
      <c r="F3" s="311" t="s">
        <v>216</v>
      </c>
      <c r="G3" s="77" t="s">
        <v>1</v>
      </c>
      <c r="H3" s="77" t="s">
        <v>2</v>
      </c>
    </row>
    <row r="4" spans="1:8">
      <c r="A4" s="5"/>
      <c r="B4" s="104" t="s">
        <v>45</v>
      </c>
      <c r="C4" s="8" t="s">
        <v>45</v>
      </c>
      <c r="D4" s="8" t="s">
        <v>45</v>
      </c>
      <c r="E4" s="8" t="s">
        <v>45</v>
      </c>
      <c r="F4" s="8" t="s">
        <v>45</v>
      </c>
      <c r="G4" s="106" t="s">
        <v>45</v>
      </c>
      <c r="H4" s="106" t="s">
        <v>45</v>
      </c>
    </row>
    <row r="5" spans="1:8">
      <c r="A5" s="104"/>
      <c r="B5" s="104"/>
      <c r="C5" s="8"/>
      <c r="D5" s="8"/>
      <c r="E5" s="8"/>
      <c r="F5" s="8"/>
      <c r="G5" s="118"/>
      <c r="H5" s="118"/>
    </row>
    <row r="6" spans="1:8">
      <c r="A6" s="21" t="s">
        <v>5</v>
      </c>
      <c r="B6" s="418"/>
      <c r="C6" s="419"/>
      <c r="D6" s="419"/>
      <c r="E6" s="419"/>
      <c r="F6" s="101"/>
      <c r="G6" s="118"/>
      <c r="H6" s="153"/>
    </row>
    <row r="7" spans="1:8">
      <c r="A7" s="20" t="s">
        <v>6</v>
      </c>
      <c r="B7" s="418"/>
      <c r="C7" s="419"/>
      <c r="D7" s="419"/>
      <c r="E7" s="419"/>
      <c r="F7" s="101"/>
      <c r="G7" s="118"/>
      <c r="H7" s="118"/>
    </row>
    <row r="8" spans="1:8">
      <c r="A8" s="22" t="s">
        <v>7</v>
      </c>
      <c r="B8" s="418"/>
      <c r="C8" s="419"/>
      <c r="D8" s="419"/>
      <c r="E8" s="419"/>
      <c r="F8" s="101"/>
      <c r="G8" s="118"/>
      <c r="H8" s="118"/>
    </row>
    <row r="9" spans="1:8">
      <c r="A9" s="22" t="s">
        <v>110</v>
      </c>
      <c r="B9" s="418"/>
      <c r="C9" s="419"/>
      <c r="D9" s="419"/>
      <c r="E9" s="419"/>
      <c r="F9" s="101"/>
      <c r="G9" s="118"/>
      <c r="H9" s="118"/>
    </row>
    <row r="10" spans="1:8">
      <c r="A10" s="22" t="s">
        <v>102</v>
      </c>
      <c r="B10" s="418"/>
      <c r="C10" s="419"/>
      <c r="D10" s="419"/>
      <c r="E10" s="419"/>
      <c r="F10" s="101"/>
      <c r="G10" s="118"/>
      <c r="H10" s="153"/>
    </row>
    <row r="11" spans="1:8">
      <c r="A11" s="22" t="s">
        <v>8</v>
      </c>
      <c r="B11" s="418"/>
      <c r="C11" s="419"/>
      <c r="D11" s="419"/>
      <c r="E11" s="419"/>
      <c r="F11" s="101"/>
      <c r="G11" s="156"/>
      <c r="H11" s="153"/>
    </row>
    <row r="12" spans="1:8">
      <c r="A12" s="22" t="s">
        <v>9</v>
      </c>
      <c r="B12" s="441"/>
      <c r="C12" s="442"/>
      <c r="D12" s="442"/>
      <c r="E12" s="442"/>
      <c r="F12" s="187"/>
      <c r="G12" s="582"/>
      <c r="H12" s="255"/>
    </row>
    <row r="13" spans="1:8">
      <c r="A13" s="22" t="s">
        <v>10</v>
      </c>
      <c r="B13" s="441"/>
      <c r="C13" s="442"/>
      <c r="D13" s="442"/>
      <c r="E13" s="442"/>
      <c r="F13" s="187"/>
      <c r="G13" s="582"/>
      <c r="H13" s="255"/>
    </row>
    <row r="14" spans="1:8">
      <c r="A14" s="22" t="s">
        <v>11</v>
      </c>
      <c r="B14" s="441"/>
      <c r="C14" s="442"/>
      <c r="D14" s="442"/>
      <c r="E14" s="442">
        <v>3</v>
      </c>
      <c r="F14" s="187">
        <f t="shared" ref="F14" si="0">SUM(B14:E14)</f>
        <v>3</v>
      </c>
      <c r="G14" s="582"/>
      <c r="H14" s="255">
        <f t="shared" ref="H14" si="1">F14+G14</f>
        <v>3</v>
      </c>
    </row>
    <row r="15" spans="1:8">
      <c r="A15" s="22" t="s">
        <v>106</v>
      </c>
      <c r="B15" s="441"/>
      <c r="C15" s="442"/>
      <c r="D15" s="442"/>
      <c r="E15" s="442"/>
      <c r="F15" s="187"/>
      <c r="G15" s="582"/>
      <c r="H15" s="255"/>
    </row>
    <row r="16" spans="1:8">
      <c r="A16" s="22" t="s">
        <v>107</v>
      </c>
      <c r="B16" s="441"/>
      <c r="C16" s="442"/>
      <c r="D16" s="442"/>
      <c r="E16" s="442"/>
      <c r="F16" s="187"/>
      <c r="G16" s="582"/>
      <c r="H16" s="255"/>
    </row>
    <row r="17" spans="1:8">
      <c r="A17" s="22" t="s">
        <v>12</v>
      </c>
      <c r="B17" s="441"/>
      <c r="C17" s="442"/>
      <c r="D17" s="442"/>
      <c r="E17" s="442"/>
      <c r="F17" s="187"/>
      <c r="G17" s="582"/>
      <c r="H17" s="255"/>
    </row>
    <row r="18" spans="1:8">
      <c r="A18" s="22" t="s">
        <v>13</v>
      </c>
      <c r="B18" s="186"/>
      <c r="C18" s="187"/>
      <c r="D18" s="187"/>
      <c r="E18" s="187"/>
      <c r="F18" s="187"/>
      <c r="G18" s="582"/>
      <c r="H18" s="582"/>
    </row>
    <row r="19" spans="1:8">
      <c r="A19" s="22" t="s">
        <v>108</v>
      </c>
      <c r="B19" s="186"/>
      <c r="C19" s="187"/>
      <c r="D19" s="187"/>
      <c r="E19" s="187"/>
      <c r="F19" s="187"/>
      <c r="G19" s="582"/>
      <c r="H19" s="582"/>
    </row>
    <row r="20" spans="1:8">
      <c r="A20" s="22" t="s">
        <v>109</v>
      </c>
      <c r="B20" s="186"/>
      <c r="C20" s="187"/>
      <c r="D20" s="187"/>
      <c r="E20" s="187"/>
      <c r="F20" s="187"/>
      <c r="G20" s="582"/>
      <c r="H20" s="582"/>
    </row>
    <row r="21" spans="1:8" s="52" customFormat="1">
      <c r="A21" s="22" t="s">
        <v>14</v>
      </c>
      <c r="B21" s="186"/>
      <c r="C21" s="187"/>
      <c r="D21" s="187"/>
      <c r="E21" s="187"/>
      <c r="F21" s="187"/>
      <c r="G21" s="583"/>
      <c r="H21" s="583"/>
    </row>
    <row r="22" spans="1:8" s="52" customFormat="1">
      <c r="A22" s="22" t="s">
        <v>15</v>
      </c>
      <c r="B22" s="186"/>
      <c r="C22" s="187"/>
      <c r="D22" s="187"/>
      <c r="E22" s="187"/>
      <c r="F22" s="187"/>
      <c r="G22" s="583"/>
      <c r="H22" s="583"/>
    </row>
    <row r="23" spans="1:8">
      <c r="A23" s="21" t="s">
        <v>16</v>
      </c>
      <c r="B23" s="186"/>
      <c r="C23" s="187"/>
      <c r="D23" s="187"/>
      <c r="E23" s="187"/>
      <c r="F23" s="187"/>
      <c r="G23" s="582"/>
      <c r="H23" s="582"/>
    </row>
    <row r="24" spans="1:8">
      <c r="A24" s="22" t="s">
        <v>17</v>
      </c>
      <c r="B24" s="186"/>
      <c r="C24" s="187"/>
      <c r="D24" s="187"/>
      <c r="E24" s="187"/>
      <c r="F24" s="187"/>
      <c r="G24" s="582"/>
      <c r="H24" s="582"/>
    </row>
    <row r="25" spans="1:8">
      <c r="A25" s="22" t="s">
        <v>18</v>
      </c>
      <c r="B25" s="186"/>
      <c r="C25" s="187"/>
      <c r="D25" s="187"/>
      <c r="E25" s="187"/>
      <c r="F25" s="187"/>
      <c r="G25" s="582"/>
      <c r="H25" s="582"/>
    </row>
    <row r="26" spans="1:8">
      <c r="A26" s="22" t="s">
        <v>19</v>
      </c>
      <c r="B26" s="186"/>
      <c r="C26" s="187"/>
      <c r="D26" s="187"/>
      <c r="E26" s="187"/>
      <c r="F26" s="187"/>
      <c r="G26" s="582"/>
      <c r="H26" s="582"/>
    </row>
    <row r="27" spans="1:8">
      <c r="A27" s="22" t="s">
        <v>20</v>
      </c>
      <c r="B27" s="186"/>
      <c r="C27" s="187"/>
      <c r="D27" s="187"/>
      <c r="E27" s="187"/>
      <c r="F27" s="187"/>
      <c r="G27" s="582"/>
      <c r="H27" s="582"/>
    </row>
    <row r="28" spans="1:8">
      <c r="A28" s="22" t="s">
        <v>21</v>
      </c>
      <c r="B28" s="186"/>
      <c r="C28" s="187"/>
      <c r="D28" s="187"/>
      <c r="E28" s="187"/>
      <c r="F28" s="187"/>
      <c r="G28" s="582"/>
      <c r="H28" s="582"/>
    </row>
    <row r="29" spans="1:8">
      <c r="A29" s="22" t="s">
        <v>22</v>
      </c>
      <c r="B29" s="186"/>
      <c r="C29" s="187"/>
      <c r="D29" s="187"/>
      <c r="E29" s="187"/>
      <c r="F29" s="187"/>
      <c r="G29" s="582"/>
      <c r="H29" s="582"/>
    </row>
    <row r="30" spans="1:8">
      <c r="A30" s="22" t="s">
        <v>23</v>
      </c>
      <c r="B30" s="186"/>
      <c r="C30" s="187"/>
      <c r="D30" s="187"/>
      <c r="E30" s="187"/>
      <c r="F30" s="187"/>
      <c r="G30" s="582"/>
      <c r="H30" s="582"/>
    </row>
    <row r="31" spans="1:8">
      <c r="A31" s="22" t="s">
        <v>24</v>
      </c>
      <c r="B31" s="186"/>
      <c r="C31" s="187"/>
      <c r="D31" s="187"/>
      <c r="E31" s="187"/>
      <c r="F31" s="187"/>
      <c r="G31" s="582"/>
      <c r="H31" s="582"/>
    </row>
    <row r="32" spans="1:8">
      <c r="A32" s="21" t="s">
        <v>25</v>
      </c>
      <c r="B32" s="186"/>
      <c r="C32" s="187"/>
      <c r="D32" s="187"/>
      <c r="E32" s="187"/>
      <c r="F32" s="187"/>
      <c r="G32" s="582"/>
      <c r="H32" s="582"/>
    </row>
    <row r="33" spans="1:8">
      <c r="A33" s="21" t="s">
        <v>111</v>
      </c>
      <c r="B33" s="186"/>
      <c r="C33" s="187"/>
      <c r="D33" s="187"/>
      <c r="E33" s="187"/>
      <c r="F33" s="187"/>
      <c r="G33" s="582"/>
      <c r="H33" s="582"/>
    </row>
    <row r="34" spans="1:8">
      <c r="A34" s="21" t="s">
        <v>112</v>
      </c>
      <c r="B34" s="186"/>
      <c r="C34" s="187"/>
      <c r="D34" s="187"/>
      <c r="E34" s="187"/>
      <c r="F34" s="187"/>
      <c r="G34" s="582"/>
      <c r="H34" s="582"/>
    </row>
    <row r="35" spans="1:8">
      <c r="A35" s="21" t="s">
        <v>26</v>
      </c>
      <c r="B35" s="186"/>
      <c r="C35" s="187"/>
      <c r="D35" s="187"/>
      <c r="E35" s="187"/>
      <c r="F35" s="187"/>
      <c r="G35" s="582"/>
      <c r="H35" s="582"/>
    </row>
    <row r="36" spans="1:8">
      <c r="A36" s="21" t="s">
        <v>27</v>
      </c>
      <c r="B36" s="186"/>
      <c r="C36" s="187"/>
      <c r="D36" s="187"/>
      <c r="E36" s="187"/>
      <c r="F36" s="187"/>
      <c r="G36" s="582"/>
      <c r="H36" s="582"/>
    </row>
    <row r="37" spans="1:8" ht="13.5" thickBot="1">
      <c r="A37" s="247"/>
      <c r="B37" s="186"/>
      <c r="C37" s="187"/>
      <c r="D37" s="187"/>
      <c r="E37" s="187"/>
      <c r="F37" s="187"/>
      <c r="G37" s="582"/>
      <c r="H37" s="582"/>
    </row>
    <row r="38" spans="1:8" ht="13.5" thickBot="1">
      <c r="A38" s="247" t="s">
        <v>2</v>
      </c>
      <c r="B38" s="190">
        <f>SUM(B6:B37)</f>
        <v>0</v>
      </c>
      <c r="C38" s="191"/>
      <c r="D38" s="191"/>
      <c r="E38" s="191">
        <f>SUM(E6:E37)</f>
        <v>3</v>
      </c>
      <c r="F38" s="191">
        <f>SUM(F6:F37)</f>
        <v>3</v>
      </c>
      <c r="G38" s="584"/>
      <c r="H38" s="585">
        <f>F38+G38</f>
        <v>3</v>
      </c>
    </row>
    <row r="39" spans="1:8">
      <c r="A39" s="21" t="s">
        <v>149</v>
      </c>
      <c r="B39" s="259">
        <f>SUM(B6:B19)</f>
        <v>0</v>
      </c>
      <c r="C39" s="249"/>
      <c r="D39" s="249"/>
      <c r="E39" s="249">
        <f>SUM(E6:E19)</f>
        <v>3</v>
      </c>
      <c r="F39" s="249">
        <f>SUM(F6:F19)</f>
        <v>3</v>
      </c>
      <c r="G39" s="255"/>
      <c r="H39" s="255">
        <f>F39+G39</f>
        <v>3</v>
      </c>
    </row>
    <row r="40" spans="1:8">
      <c r="A40" s="21" t="s">
        <v>124</v>
      </c>
      <c r="B40" s="259">
        <f>SUM(B20:B33)</f>
        <v>0</v>
      </c>
      <c r="C40" s="249"/>
      <c r="D40" s="249"/>
      <c r="E40" s="249">
        <f>SUM(E20:E33)</f>
        <v>0</v>
      </c>
      <c r="F40" s="249">
        <f>SUM(F20:F33)</f>
        <v>0</v>
      </c>
      <c r="G40" s="255"/>
      <c r="H40" s="255">
        <f>F40+G40</f>
        <v>0</v>
      </c>
    </row>
    <row r="41" spans="1:8" ht="13.5" thickBot="1">
      <c r="A41" s="247" t="s">
        <v>88</v>
      </c>
      <c r="B41" s="260">
        <f>SUM(B34:B36)</f>
        <v>0</v>
      </c>
      <c r="C41" s="250"/>
      <c r="D41" s="250"/>
      <c r="E41" s="250">
        <f>SUM(E34:E36)</f>
        <v>0</v>
      </c>
      <c r="F41" s="250">
        <f>SUM(F34:F36)</f>
        <v>0</v>
      </c>
      <c r="G41" s="256"/>
      <c r="H41" s="256">
        <f>F41+G41</f>
        <v>0</v>
      </c>
    </row>
    <row r="42" spans="1:8">
      <c r="A42" s="246"/>
      <c r="B42" s="244"/>
      <c r="C42" s="244"/>
      <c r="D42" s="244"/>
      <c r="E42" s="244"/>
      <c r="F42" s="244"/>
      <c r="G42" s="244"/>
      <c r="H42" s="420"/>
    </row>
    <row r="43" spans="1:8">
      <c r="A43" s="29" t="s">
        <v>307</v>
      </c>
      <c r="B43" s="12"/>
      <c r="C43" s="12"/>
      <c r="D43" s="12"/>
      <c r="E43" s="12"/>
      <c r="F43" s="12"/>
      <c r="G43" s="12"/>
      <c r="H43" s="76"/>
    </row>
    <row r="44" spans="1:8">
      <c r="A44" s="29"/>
      <c r="B44" s="421" t="s">
        <v>400</v>
      </c>
      <c r="C44" s="12"/>
      <c r="D44" s="12"/>
      <c r="E44" s="12"/>
      <c r="F44" s="12"/>
      <c r="G44" s="12"/>
      <c r="H44" s="76"/>
    </row>
    <row r="45" spans="1:8" ht="13.5" thickBot="1">
      <c r="A45" s="72"/>
      <c r="B45" s="438" t="s">
        <v>306</v>
      </c>
      <c r="C45" s="28"/>
      <c r="D45" s="28"/>
      <c r="E45" s="28"/>
      <c r="F45" s="28"/>
      <c r="G45" s="28"/>
      <c r="H45" s="80"/>
    </row>
    <row r="47" spans="1:8">
      <c r="A47" s="264" t="s">
        <v>91</v>
      </c>
      <c r="B47" s="18">
        <f>SUM(B39:B41)-B38</f>
        <v>0</v>
      </c>
      <c r="C47" s="18">
        <f t="shared" ref="C47:H47" si="2">SUM(C39:C41)-C38</f>
        <v>0</v>
      </c>
      <c r="D47" s="18">
        <f t="shared" si="2"/>
        <v>0</v>
      </c>
      <c r="E47" s="18">
        <f t="shared" si="2"/>
        <v>0</v>
      </c>
      <c r="F47" s="18">
        <f t="shared" si="2"/>
        <v>0</v>
      </c>
      <c r="G47" s="18">
        <f t="shared" si="2"/>
        <v>0</v>
      </c>
      <c r="H47" s="18">
        <f t="shared" si="2"/>
        <v>0</v>
      </c>
    </row>
  </sheetData>
  <mergeCells count="2">
    <mergeCell ref="A1:F1"/>
    <mergeCell ref="B2:F2"/>
  </mergeCells>
  <printOptions horizontalCentered="1"/>
  <pageMargins left="0.75" right="0.75" top="1" bottom="1" header="0.5" footer="0.5"/>
  <pageSetup scale="81" orientation="portrait" r:id="rId1"/>
  <headerFooter alignWithMargins="0">
    <oddFooter>&amp;L&amp;F
&amp;A&amp;R&amp;P of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36">
    <tabColor rgb="FFFFC000"/>
  </sheetPr>
  <dimension ref="A1:W54"/>
  <sheetViews>
    <sheetView topLeftCell="D17" zoomScaleNormal="100" workbookViewId="0">
      <selection activeCell="D16" sqref="D16"/>
    </sheetView>
  </sheetViews>
  <sheetFormatPr defaultRowHeight="12.75"/>
  <cols>
    <col min="1" max="1" width="32.7109375" customWidth="1"/>
    <col min="2" max="2" width="12.85546875" bestFit="1" customWidth="1"/>
    <col min="3" max="4" width="8.7109375" bestFit="1" customWidth="1"/>
    <col min="5" max="5" width="11.7109375" customWidth="1"/>
    <col min="6" max="6" width="12.85546875" bestFit="1" customWidth="1"/>
    <col min="7" max="8" width="11.5703125" customWidth="1"/>
    <col min="9" max="9" width="11.42578125" customWidth="1"/>
    <col min="10" max="10" width="12.85546875" bestFit="1" customWidth="1"/>
    <col min="11" max="11" width="11.28515625" bestFit="1" customWidth="1"/>
    <col min="12" max="12" width="10.140625" customWidth="1"/>
    <col min="13" max="13" width="11.7109375" customWidth="1"/>
    <col min="14" max="14" width="12.85546875" bestFit="1" customWidth="1"/>
    <col min="15" max="16" width="11.28515625" bestFit="1" customWidth="1"/>
    <col min="17" max="17" width="12.5703125" customWidth="1"/>
    <col min="18" max="18" width="12.85546875" bestFit="1" customWidth="1"/>
    <col min="19" max="20" width="11.28515625" bestFit="1" customWidth="1"/>
    <col min="21" max="21" width="10.28515625" bestFit="1" customWidth="1"/>
  </cols>
  <sheetData>
    <row r="1" spans="1:23" ht="18.75" thickBot="1">
      <c r="A1" s="756" t="s">
        <v>157</v>
      </c>
      <c r="B1" s="756"/>
      <c r="C1" s="756"/>
      <c r="D1" s="756"/>
      <c r="E1" s="756"/>
      <c r="F1" s="756"/>
      <c r="G1" s="756"/>
      <c r="H1" s="756"/>
      <c r="I1" s="756"/>
      <c r="J1" s="756"/>
      <c r="K1" s="756"/>
      <c r="L1" s="756"/>
      <c r="M1" s="756"/>
      <c r="N1" s="756"/>
      <c r="O1" s="756"/>
      <c r="P1" s="756"/>
      <c r="Q1" s="756"/>
    </row>
    <row r="2" spans="1:23" ht="13.5" thickBot="1">
      <c r="A2" s="232"/>
      <c r="B2" s="749" t="s">
        <v>117</v>
      </c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49" t="s">
        <v>211</v>
      </c>
      <c r="S2" s="750"/>
      <c r="T2" s="750"/>
      <c r="U2" s="752"/>
    </row>
    <row r="3" spans="1:23">
      <c r="A3" s="55"/>
      <c r="B3" s="757" t="s">
        <v>113</v>
      </c>
      <c r="C3" s="758"/>
      <c r="D3" s="758"/>
      <c r="E3" s="759"/>
      <c r="F3" s="757" t="s">
        <v>100</v>
      </c>
      <c r="G3" s="758"/>
      <c r="H3" s="758"/>
      <c r="I3" s="759"/>
      <c r="J3" s="758" t="s">
        <v>33</v>
      </c>
      <c r="K3" s="758"/>
      <c r="L3" s="758"/>
      <c r="M3" s="759"/>
      <c r="N3" s="751" t="s">
        <v>34</v>
      </c>
      <c r="O3" s="758"/>
      <c r="P3" s="758"/>
      <c r="Q3" s="758"/>
      <c r="R3" s="761"/>
      <c r="S3" s="762"/>
      <c r="T3" s="762"/>
      <c r="U3" s="763"/>
    </row>
    <row r="4" spans="1:23" ht="13.5" thickBot="1">
      <c r="A4" s="235" t="s">
        <v>4</v>
      </c>
      <c r="B4" s="235" t="s">
        <v>36</v>
      </c>
      <c r="C4" s="236" t="s">
        <v>37</v>
      </c>
      <c r="D4" s="236" t="s">
        <v>38</v>
      </c>
      <c r="E4" s="237" t="s">
        <v>41</v>
      </c>
      <c r="F4" s="235" t="s">
        <v>36</v>
      </c>
      <c r="G4" s="236" t="s">
        <v>37</v>
      </c>
      <c r="H4" s="236" t="s">
        <v>38</v>
      </c>
      <c r="I4" s="237" t="s">
        <v>41</v>
      </c>
      <c r="J4" s="236" t="s">
        <v>36</v>
      </c>
      <c r="K4" s="236" t="s">
        <v>37</v>
      </c>
      <c r="L4" s="236" t="s">
        <v>38</v>
      </c>
      <c r="M4" s="237" t="s">
        <v>41</v>
      </c>
      <c r="N4" s="235" t="s">
        <v>36</v>
      </c>
      <c r="O4" s="236" t="s">
        <v>37</v>
      </c>
      <c r="P4" s="236" t="s">
        <v>38</v>
      </c>
      <c r="Q4" s="236" t="s">
        <v>41</v>
      </c>
      <c r="R4" s="235" t="s">
        <v>36</v>
      </c>
      <c r="S4" s="236" t="s">
        <v>37</v>
      </c>
      <c r="T4" s="236" t="s">
        <v>38</v>
      </c>
      <c r="U4" s="237" t="s">
        <v>41</v>
      </c>
    </row>
    <row r="5" spans="1:2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6" t="s">
        <v>42</v>
      </c>
      <c r="S5" s="6" t="s">
        <v>42</v>
      </c>
      <c r="T5" s="6" t="s">
        <v>42</v>
      </c>
      <c r="U5" s="7" t="s">
        <v>43</v>
      </c>
    </row>
    <row r="6" spans="1:23">
      <c r="A6" s="10"/>
      <c r="B6" s="104"/>
      <c r="C6" s="8"/>
      <c r="D6" s="8"/>
      <c r="E6" s="9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8"/>
      <c r="S6" s="8"/>
      <c r="T6" s="8"/>
      <c r="U6" s="9"/>
    </row>
    <row r="7" spans="1:23">
      <c r="A7" s="124" t="s">
        <v>5</v>
      </c>
      <c r="B7" s="109">
        <f>'Sch OL-TOU Cust Fcst'!$B6*'Non-Residential TSM UC Adj'!B7</f>
        <v>0</v>
      </c>
      <c r="C7" s="23">
        <f>'Sch OL-TOU Cust Fcst'!$B6*'Non-Residential TSM UC Adj'!C7</f>
        <v>0</v>
      </c>
      <c r="D7" s="23">
        <f>'Sch OL-TOU Cust Fcst'!$B6*'Non-Residential TSM UC Adj'!D7</f>
        <v>0</v>
      </c>
      <c r="E7" s="41">
        <f>IF(SUM(B7:D7)=0,0,SUM(B7:D7)/'Sch AL-TOU Cust Fcst'!B6)</f>
        <v>0</v>
      </c>
      <c r="F7" s="109">
        <f>'Sch OL-TOU Cust Fcst'!$C6*'Non-Residential TSM UC Adj'!F7</f>
        <v>0</v>
      </c>
      <c r="G7" s="23">
        <f>'Sch OL-TOU Cust Fcst'!$C6*'Non-Residential TSM UC Adj'!G7</f>
        <v>0</v>
      </c>
      <c r="H7" s="23">
        <f>'Sch OL-TOU Cust Fcst'!$C6*'Non-Residential TSM UC Adj'!H7</f>
        <v>0</v>
      </c>
      <c r="I7" s="41">
        <f>IF(SUM(F7:H7)=0,0,SUM(F7:H7)/'Sch AL-TOU Cust Fcst'!C6)</f>
        <v>0</v>
      </c>
      <c r="J7" s="109">
        <f>'Sch OL-TOU Cust Fcst'!$D6*'Non-Residential TSM UC Adj'!J7</f>
        <v>0</v>
      </c>
      <c r="K7" s="23">
        <f>'Sch OL-TOU Cust Fcst'!$D6*'Non-Residential TSM UC Adj'!K7</f>
        <v>0</v>
      </c>
      <c r="L7" s="23">
        <f>'Sch OL-TOU Cust Fcst'!$D6*'Non-Residential TSM UC Adj'!L7</f>
        <v>0</v>
      </c>
      <c r="M7" s="41">
        <f>IF(SUM(J7:L7)=0,0,SUM(J7:L7)/'Sch AL-TOU Cust Fcst'!D6)</f>
        <v>0</v>
      </c>
      <c r="N7" s="109">
        <f>'Sch OL-TOU Cust Fcst'!$E6*'Non-Residential TSM UC Adj'!N7</f>
        <v>0</v>
      </c>
      <c r="O7" s="23">
        <f>'Sch OL-TOU Cust Fcst'!$E6*'Non-Residential TSM UC Adj'!O7</f>
        <v>0</v>
      </c>
      <c r="P7" s="23">
        <f>'Sch OL-TOU Cust Fcst'!$E6*'Non-Residential TSM UC Adj'!P7</f>
        <v>0</v>
      </c>
      <c r="Q7" s="41">
        <f>IF(SUM(N7:P7)=0,0,SUM(N7:P7)/'Sch AL-TOU Cust Fcst'!E6)</f>
        <v>0</v>
      </c>
      <c r="R7" s="23">
        <f>B7+F7+J7+N7</f>
        <v>0</v>
      </c>
      <c r="S7" s="23">
        <f t="shared" ref="S7:T22" si="0">C7+G7+K7+O7</f>
        <v>0</v>
      </c>
      <c r="T7" s="23">
        <f t="shared" si="0"/>
        <v>0</v>
      </c>
      <c r="U7" s="41">
        <f>IF(SUM(R7:T7)=0,0,SUM(R7:T7)/'Sch AL-TOU Cust Fcst'!F6)</f>
        <v>0</v>
      </c>
    </row>
    <row r="8" spans="1:23">
      <c r="A8" s="125" t="s">
        <v>6</v>
      </c>
      <c r="B8" s="109">
        <f>'Sch OL-TOU Cust Fcst'!$B7*'Non-Residential TSM UC Adj'!B8</f>
        <v>0</v>
      </c>
      <c r="C8" s="23">
        <f>'Sch OL-TOU Cust Fcst'!$B7*'Non-Residential TSM UC Adj'!C8</f>
        <v>0</v>
      </c>
      <c r="D8" s="23">
        <f>'Sch OL-TOU Cust Fcst'!$B7*'Non-Residential TSM UC Adj'!D8</f>
        <v>0</v>
      </c>
      <c r="E8" s="41">
        <f>IF(SUM(B8:D8)=0,0,SUM(B8:D8)/'Sch AL-TOU Cust Fcst'!B7)</f>
        <v>0</v>
      </c>
      <c r="F8" s="109">
        <f>'Sch OL-TOU Cust Fcst'!$C7*'Non-Residential TSM UC Adj'!F8</f>
        <v>0</v>
      </c>
      <c r="G8" s="23">
        <f>'Sch OL-TOU Cust Fcst'!$C7*'Non-Residential TSM UC Adj'!G8</f>
        <v>0</v>
      </c>
      <c r="H8" s="23">
        <f>'Sch OL-TOU Cust Fcst'!$C7*'Non-Residential TSM UC Adj'!H8</f>
        <v>0</v>
      </c>
      <c r="I8" s="41">
        <f>IF(SUM(F8:H8)=0,0,SUM(F8:H8)/'Sch AL-TOU Cust Fcst'!C7)</f>
        <v>0</v>
      </c>
      <c r="J8" s="109">
        <f>'Sch OL-TOU Cust Fcst'!$D7*'Non-Residential TSM UC Adj'!J8</f>
        <v>0</v>
      </c>
      <c r="K8" s="23">
        <f>'Sch OL-TOU Cust Fcst'!$D7*'Non-Residential TSM UC Adj'!K8</f>
        <v>0</v>
      </c>
      <c r="L8" s="23">
        <f>'Sch OL-TOU Cust Fcst'!$D7*'Non-Residential TSM UC Adj'!L8</f>
        <v>0</v>
      </c>
      <c r="M8" s="41">
        <f>IF(SUM(J8:L8)=0,0,SUM(J8:L8)/'Sch AL-TOU Cust Fcst'!D7)</f>
        <v>0</v>
      </c>
      <c r="N8" s="109">
        <f>'Sch OL-TOU Cust Fcst'!$E7*'Non-Residential TSM UC Adj'!N8</f>
        <v>0</v>
      </c>
      <c r="O8" s="23">
        <f>'Sch OL-TOU Cust Fcst'!$E7*'Non-Residential TSM UC Adj'!O8</f>
        <v>0</v>
      </c>
      <c r="P8" s="23">
        <f>'Sch OL-TOU Cust Fcst'!$E7*'Non-Residential TSM UC Adj'!P8</f>
        <v>0</v>
      </c>
      <c r="Q8" s="41">
        <f>IF(SUM(N8:P8)=0,0,SUM(N8:P8)/'Sch AL-TOU Cust Fcst'!E7)</f>
        <v>0</v>
      </c>
      <c r="R8" s="23">
        <f t="shared" ref="R8:R37" si="1">B8+F8+J8+N8</f>
        <v>0</v>
      </c>
      <c r="S8" s="23">
        <f t="shared" si="0"/>
        <v>0</v>
      </c>
      <c r="T8" s="23">
        <f t="shared" si="0"/>
        <v>0</v>
      </c>
      <c r="U8" s="41">
        <f>IF(SUM(R8:T8)=0,0,SUM(R8:T8)/'Sch AL-TOU Cust Fcst'!F7)</f>
        <v>0</v>
      </c>
    </row>
    <row r="9" spans="1:23">
      <c r="A9" s="126" t="s">
        <v>7</v>
      </c>
      <c r="B9" s="109">
        <f>'Sch OL-TOU Cust Fcst'!$B8*'Non-Residential TSM UC Adj'!B9</f>
        <v>0</v>
      </c>
      <c r="C9" s="23">
        <f>'Sch OL-TOU Cust Fcst'!$B8*'Non-Residential TSM UC Adj'!C9</f>
        <v>0</v>
      </c>
      <c r="D9" s="23">
        <f>'Sch OL-TOU Cust Fcst'!$B8*'Non-Residential TSM UC Adj'!D9</f>
        <v>0</v>
      </c>
      <c r="E9" s="41">
        <f>IF(SUM(B9:D9)=0,0,SUM(B9:D9)/'Sch AL-TOU Cust Fcst'!B8)</f>
        <v>0</v>
      </c>
      <c r="F9" s="109">
        <f>'Sch OL-TOU Cust Fcst'!$C8*'Non-Residential TSM UC Adj'!F9</f>
        <v>0</v>
      </c>
      <c r="G9" s="23">
        <f>'Sch OL-TOU Cust Fcst'!$C8*'Non-Residential TSM UC Adj'!G9</f>
        <v>0</v>
      </c>
      <c r="H9" s="23">
        <f>'Sch OL-TOU Cust Fcst'!$C8*'Non-Residential TSM UC Adj'!H9</f>
        <v>0</v>
      </c>
      <c r="I9" s="41">
        <f>IF(SUM(F9:H9)=0,0,SUM(F9:H9)/'Sch AL-TOU Cust Fcst'!C8)</f>
        <v>0</v>
      </c>
      <c r="J9" s="109">
        <f>'Sch OL-TOU Cust Fcst'!$D8*'Non-Residential TSM UC Adj'!J9</f>
        <v>0</v>
      </c>
      <c r="K9" s="23">
        <f>'Sch OL-TOU Cust Fcst'!$D8*'Non-Residential TSM UC Adj'!K9</f>
        <v>0</v>
      </c>
      <c r="L9" s="23">
        <f>'Sch OL-TOU Cust Fcst'!$D8*'Non-Residential TSM UC Adj'!L9</f>
        <v>0</v>
      </c>
      <c r="M9" s="41">
        <f>IF(SUM(J9:L9)=0,0,SUM(J9:L9)/'Sch AL-TOU Cust Fcst'!D8)</f>
        <v>0</v>
      </c>
      <c r="N9" s="109">
        <f>'Sch OL-TOU Cust Fcst'!$E8*'Non-Residential TSM UC Adj'!N9</f>
        <v>0</v>
      </c>
      <c r="O9" s="23">
        <f>'Sch OL-TOU Cust Fcst'!$E8*'Non-Residential TSM UC Adj'!O9</f>
        <v>0</v>
      </c>
      <c r="P9" s="23">
        <f>'Sch OL-TOU Cust Fcst'!$E8*'Non-Residential TSM UC Adj'!P9</f>
        <v>0</v>
      </c>
      <c r="Q9" s="41">
        <f>IF(SUM(N9:P9)=0,0,SUM(N9:P9)/'Sch AL-TOU Cust Fcst'!E8)</f>
        <v>0</v>
      </c>
      <c r="R9" s="23">
        <f t="shared" si="1"/>
        <v>0</v>
      </c>
      <c r="S9" s="23">
        <f t="shared" si="0"/>
        <v>0</v>
      </c>
      <c r="T9" s="23">
        <f t="shared" si="0"/>
        <v>0</v>
      </c>
      <c r="U9" s="41">
        <f>IF(SUM(R9:T9)=0,0,SUM(R9:T9)/'Sch AL-TOU Cust Fcst'!F8)</f>
        <v>0</v>
      </c>
    </row>
    <row r="10" spans="1:23">
      <c r="A10" s="126" t="s">
        <v>110</v>
      </c>
      <c r="B10" s="109">
        <f>'Sch OL-TOU Cust Fcst'!$B9*'Non-Residential TSM UC Adj'!B10</f>
        <v>0</v>
      </c>
      <c r="C10" s="23">
        <f>'Sch OL-TOU Cust Fcst'!$B9*'Non-Residential TSM UC Adj'!C10</f>
        <v>0</v>
      </c>
      <c r="D10" s="23">
        <f>'Sch OL-TOU Cust Fcst'!$B9*'Non-Residential TSM UC Adj'!D10</f>
        <v>0</v>
      </c>
      <c r="E10" s="41">
        <f>IF(SUM(B10:D10)=0,0,SUM(B10:D10)/'Sch AL-TOU Cust Fcst'!B9)</f>
        <v>0</v>
      </c>
      <c r="F10" s="109">
        <f>'Sch OL-TOU Cust Fcst'!$C9*'Non-Residential TSM UC Adj'!F10</f>
        <v>0</v>
      </c>
      <c r="G10" s="23">
        <f>'Sch OL-TOU Cust Fcst'!$C9*'Non-Residential TSM UC Adj'!G10</f>
        <v>0</v>
      </c>
      <c r="H10" s="23">
        <f>'Sch OL-TOU Cust Fcst'!$C9*'Non-Residential TSM UC Adj'!H10</f>
        <v>0</v>
      </c>
      <c r="I10" s="41">
        <f>IF(SUM(F10:H10)=0,0,SUM(F10:H10)/'Sch AL-TOU Cust Fcst'!C9)</f>
        <v>0</v>
      </c>
      <c r="J10" s="109">
        <f>'Sch OL-TOU Cust Fcst'!$D9*'Non-Residential TSM UC Adj'!J10</f>
        <v>0</v>
      </c>
      <c r="K10" s="23">
        <f>'Sch OL-TOU Cust Fcst'!$D9*'Non-Residential TSM UC Adj'!K10</f>
        <v>0</v>
      </c>
      <c r="L10" s="23">
        <f>'Sch OL-TOU Cust Fcst'!$D9*'Non-Residential TSM UC Adj'!L10</f>
        <v>0</v>
      </c>
      <c r="M10" s="41">
        <f>IF(SUM(J10:L10)=0,0,SUM(J10:L10)/'Sch AL-TOU Cust Fcst'!D9)</f>
        <v>0</v>
      </c>
      <c r="N10" s="109">
        <f>'Sch OL-TOU Cust Fcst'!$E9*'Non-Residential TSM UC Adj'!N10</f>
        <v>0</v>
      </c>
      <c r="O10" s="23">
        <f>'Sch OL-TOU Cust Fcst'!$E9*'Non-Residential TSM UC Adj'!O10</f>
        <v>0</v>
      </c>
      <c r="P10" s="23">
        <f>'Sch OL-TOU Cust Fcst'!$E9*'Non-Residential TSM UC Adj'!P10</f>
        <v>0</v>
      </c>
      <c r="Q10" s="41">
        <f>IF(SUM(N10:P10)=0,0,SUM(N10:P10)/'Sch AL-TOU Cust Fcst'!E9)</f>
        <v>0</v>
      </c>
      <c r="R10" s="23">
        <f t="shared" si="1"/>
        <v>0</v>
      </c>
      <c r="S10" s="23">
        <f t="shared" si="0"/>
        <v>0</v>
      </c>
      <c r="T10" s="23">
        <f t="shared" si="0"/>
        <v>0</v>
      </c>
      <c r="U10" s="41">
        <f>IF(SUM(R10:T10)=0,0,SUM(R10:T10)/'Sch AL-TOU Cust Fcst'!F9)</f>
        <v>0</v>
      </c>
    </row>
    <row r="11" spans="1:23">
      <c r="A11" s="126" t="s">
        <v>102</v>
      </c>
      <c r="B11" s="109">
        <f>'Sch OL-TOU Cust Fcst'!$B10*'Non-Residential TSM UC Adj'!B11</f>
        <v>0</v>
      </c>
      <c r="C11" s="23">
        <f>'Sch OL-TOU Cust Fcst'!$B10*'Non-Residential TSM UC Adj'!C11</f>
        <v>0</v>
      </c>
      <c r="D11" s="23">
        <f>'Sch OL-TOU Cust Fcst'!$B10*'Non-Residential TSM UC Adj'!D11</f>
        <v>0</v>
      </c>
      <c r="E11" s="41">
        <f>IF(SUM(B11:D11)=0,0,SUM(B11:D11)/'Sch AL-TOU Cust Fcst'!B10)</f>
        <v>0</v>
      </c>
      <c r="F11" s="109">
        <f>'Sch OL-TOU Cust Fcst'!$C10*'Non-Residential TSM UC Adj'!F11</f>
        <v>0</v>
      </c>
      <c r="G11" s="23">
        <f>'Sch OL-TOU Cust Fcst'!$C10*'Non-Residential TSM UC Adj'!G11</f>
        <v>0</v>
      </c>
      <c r="H11" s="23">
        <f>'Sch OL-TOU Cust Fcst'!$C10*'Non-Residential TSM UC Adj'!H11</f>
        <v>0</v>
      </c>
      <c r="I11" s="41">
        <f>IF(SUM(F11:H11)=0,0,SUM(F11:H11)/'Sch AL-TOU Cust Fcst'!C10)</f>
        <v>0</v>
      </c>
      <c r="J11" s="109">
        <f>'Sch OL-TOU Cust Fcst'!$D10*'Non-Residential TSM UC Adj'!J11</f>
        <v>0</v>
      </c>
      <c r="K11" s="23">
        <f>'Sch OL-TOU Cust Fcst'!$D10*'Non-Residential TSM UC Adj'!K11</f>
        <v>0</v>
      </c>
      <c r="L11" s="23">
        <f>'Sch OL-TOU Cust Fcst'!$D10*'Non-Residential TSM UC Adj'!L11</f>
        <v>0</v>
      </c>
      <c r="M11" s="41">
        <f>IF(SUM(J11:L11)=0,0,SUM(J11:L11)/'Sch AL-TOU Cust Fcst'!D10)</f>
        <v>0</v>
      </c>
      <c r="N11" s="109">
        <f>'Sch OL-TOU Cust Fcst'!$E10*'Non-Residential TSM UC Adj'!N11</f>
        <v>0</v>
      </c>
      <c r="O11" s="23">
        <f>'Sch OL-TOU Cust Fcst'!$E10*'Non-Residential TSM UC Adj'!O11</f>
        <v>0</v>
      </c>
      <c r="P11" s="23">
        <f>'Sch OL-TOU Cust Fcst'!$E10*'Non-Residential TSM UC Adj'!P11</f>
        <v>0</v>
      </c>
      <c r="Q11" s="41">
        <f>IF(SUM(N11:P11)=0,0,SUM(N11:P11)/'Sch AL-TOU Cust Fcst'!E10)</f>
        <v>0</v>
      </c>
      <c r="R11" s="23">
        <f t="shared" si="1"/>
        <v>0</v>
      </c>
      <c r="S11" s="23">
        <f t="shared" si="0"/>
        <v>0</v>
      </c>
      <c r="T11" s="23">
        <f t="shared" si="0"/>
        <v>0</v>
      </c>
      <c r="U11" s="41">
        <f>IF(SUM(R11:T11)=0,0,SUM(R11:T11)/'Sch AL-TOU Cust Fcst'!F10)</f>
        <v>0</v>
      </c>
    </row>
    <row r="12" spans="1:23">
      <c r="A12" s="126" t="s">
        <v>8</v>
      </c>
      <c r="B12" s="109">
        <f>'Sch OL-TOU Cust Fcst'!$B11*'Non-Residential TSM UC Adj'!B12</f>
        <v>0</v>
      </c>
      <c r="C12" s="23">
        <f>'Sch OL-TOU Cust Fcst'!$B11*'Non-Residential TSM UC Adj'!C12</f>
        <v>0</v>
      </c>
      <c r="D12" s="23">
        <f>'Sch OL-TOU Cust Fcst'!$B11*'Non-Residential TSM UC Adj'!D12</f>
        <v>0</v>
      </c>
      <c r="E12" s="41">
        <f>IF(SUM(B12:D12)=0,0,SUM(B12:D12)/'Sch AL-TOU Cust Fcst'!B11)</f>
        <v>0</v>
      </c>
      <c r="F12" s="109">
        <f>'Sch OL-TOU Cust Fcst'!$C11*'Non-Residential TSM UC Adj'!F12</f>
        <v>0</v>
      </c>
      <c r="G12" s="23">
        <f>'Sch OL-TOU Cust Fcst'!$C11*'Non-Residential TSM UC Adj'!G12</f>
        <v>0</v>
      </c>
      <c r="H12" s="23">
        <f>'Sch OL-TOU Cust Fcst'!$C11*'Non-Residential TSM UC Adj'!H12</f>
        <v>0</v>
      </c>
      <c r="I12" s="41">
        <f>IF(SUM(F12:H12)=0,0,SUM(F12:H12)/'Sch AL-TOU Cust Fcst'!C11)</f>
        <v>0</v>
      </c>
      <c r="J12" s="109">
        <f>'Sch OL-TOU Cust Fcst'!$D11*'Non-Residential TSM UC Adj'!J12</f>
        <v>0</v>
      </c>
      <c r="K12" s="23">
        <f>'Sch OL-TOU Cust Fcst'!$D11*'Non-Residential TSM UC Adj'!K12</f>
        <v>0</v>
      </c>
      <c r="L12" s="23">
        <f>'Sch OL-TOU Cust Fcst'!$D11*'Non-Residential TSM UC Adj'!L12</f>
        <v>0</v>
      </c>
      <c r="M12" s="41">
        <f>IF(SUM(J12:L12)=0,0,SUM(J12:L12)/'Sch AL-TOU Cust Fcst'!D11)</f>
        <v>0</v>
      </c>
      <c r="N12" s="109">
        <f>'Sch OL-TOU Cust Fcst'!$E11*'Non-Residential TSM UC Adj'!N12</f>
        <v>0</v>
      </c>
      <c r="O12" s="23">
        <f>'Sch OL-TOU Cust Fcst'!$E11*'Non-Residential TSM UC Adj'!O12</f>
        <v>0</v>
      </c>
      <c r="P12" s="23">
        <f>'Sch OL-TOU Cust Fcst'!$E11*'Non-Residential TSM UC Adj'!P12</f>
        <v>0</v>
      </c>
      <c r="Q12" s="41">
        <f>IF(SUM(N12:P12)=0,0,SUM(N12:P12)/'Sch AL-TOU Cust Fcst'!E11)</f>
        <v>0</v>
      </c>
      <c r="R12" s="23">
        <f t="shared" si="1"/>
        <v>0</v>
      </c>
      <c r="S12" s="23">
        <f t="shared" si="0"/>
        <v>0</v>
      </c>
      <c r="T12" s="23">
        <f t="shared" si="0"/>
        <v>0</v>
      </c>
      <c r="U12" s="41">
        <f>IF(SUM(R12:T12)=0,0,SUM(R12:T12)/'Sch AL-TOU Cust Fcst'!F11)</f>
        <v>0</v>
      </c>
    </row>
    <row r="13" spans="1:23">
      <c r="A13" s="126" t="s">
        <v>9</v>
      </c>
      <c r="B13" s="109">
        <f>'Sch OL-TOU Cust Fcst'!$B12*'Non-Residential TSM UC Adj'!B13</f>
        <v>0</v>
      </c>
      <c r="C13" s="23">
        <f>'Sch OL-TOU Cust Fcst'!$B12*'Non-Residential TSM UC Adj'!C13</f>
        <v>0</v>
      </c>
      <c r="D13" s="23">
        <f>'Sch OL-TOU Cust Fcst'!$B12*'Non-Residential TSM UC Adj'!D13</f>
        <v>0</v>
      </c>
      <c r="E13" s="41">
        <f>IF(SUM(B13:D13)=0,0,SUM(B13:D13)/'Sch AL-TOU Cust Fcst'!B12)</f>
        <v>0</v>
      </c>
      <c r="F13" s="109">
        <f>'Sch OL-TOU Cust Fcst'!$C12*'Non-Residential TSM UC Adj'!F13</f>
        <v>0</v>
      </c>
      <c r="G13" s="23">
        <f>'Sch OL-TOU Cust Fcst'!$C12*'Non-Residential TSM UC Adj'!G13</f>
        <v>0</v>
      </c>
      <c r="H13" s="23">
        <f>'Sch OL-TOU Cust Fcst'!$C12*'Non-Residential TSM UC Adj'!H13</f>
        <v>0</v>
      </c>
      <c r="I13" s="41">
        <f>IF(SUM(F13:H13)=0,0,SUM(F13:H13)/'Sch AL-TOU Cust Fcst'!C12)</f>
        <v>0</v>
      </c>
      <c r="J13" s="109">
        <f>'Sch OL-TOU Cust Fcst'!$D12*'Non-Residential TSM UC Adj'!J13</f>
        <v>0</v>
      </c>
      <c r="K13" s="23">
        <f>'Sch OL-TOU Cust Fcst'!$D12*'Non-Residential TSM UC Adj'!K13</f>
        <v>0</v>
      </c>
      <c r="L13" s="23">
        <f>'Sch OL-TOU Cust Fcst'!$D12*'Non-Residential TSM UC Adj'!L13</f>
        <v>0</v>
      </c>
      <c r="M13" s="41">
        <f>IF(SUM(J13:L13)=0,0,SUM(J13:L13)/'Sch AL-TOU Cust Fcst'!D12)</f>
        <v>0</v>
      </c>
      <c r="N13" s="109">
        <f>'Sch OL-TOU Cust Fcst'!$E12*'Non-Residential TSM UC Adj'!N13</f>
        <v>0</v>
      </c>
      <c r="O13" s="23">
        <f>'Sch OL-TOU Cust Fcst'!$E12*'Non-Residential TSM UC Adj'!O13</f>
        <v>0</v>
      </c>
      <c r="P13" s="23">
        <f>'Sch OL-TOU Cust Fcst'!$E12*'Non-Residential TSM UC Adj'!P13</f>
        <v>0</v>
      </c>
      <c r="Q13" s="41">
        <f>IF(SUM(N13:P13)=0,0,SUM(N13:P13)/'Sch AL-TOU Cust Fcst'!E12)</f>
        <v>0</v>
      </c>
      <c r="R13" s="23">
        <f t="shared" si="1"/>
        <v>0</v>
      </c>
      <c r="S13" s="23">
        <f t="shared" si="0"/>
        <v>0</v>
      </c>
      <c r="T13" s="23">
        <f t="shared" si="0"/>
        <v>0</v>
      </c>
      <c r="U13" s="41">
        <f>IF(SUM(R13:T13)=0,0,SUM(R13:T13)/'Sch AL-TOU Cust Fcst'!F12)</f>
        <v>0</v>
      </c>
    </row>
    <row r="14" spans="1:23">
      <c r="A14" s="126" t="s">
        <v>10</v>
      </c>
      <c r="B14" s="109">
        <f>'Sch OL-TOU Cust Fcst'!$B13*'Non-Residential TSM UC Adj'!B14</f>
        <v>0</v>
      </c>
      <c r="C14" s="23">
        <f>'Sch OL-TOU Cust Fcst'!$B13*'Non-Residential TSM UC Adj'!C14</f>
        <v>0</v>
      </c>
      <c r="D14" s="23">
        <f>'Sch OL-TOU Cust Fcst'!$B13*'Non-Residential TSM UC Adj'!D14</f>
        <v>0</v>
      </c>
      <c r="E14" s="41">
        <f>IF(SUM(B14:D14)=0,0,SUM(B14:D14)/'Sch AL-TOU Cust Fcst'!B13)</f>
        <v>0</v>
      </c>
      <c r="F14" s="109">
        <f>'Sch OL-TOU Cust Fcst'!$C13*'Non-Residential TSM UC Adj'!F14</f>
        <v>0</v>
      </c>
      <c r="G14" s="23">
        <f>'Sch OL-TOU Cust Fcst'!$C13*'Non-Residential TSM UC Adj'!G14</f>
        <v>0</v>
      </c>
      <c r="H14" s="23">
        <f>'Sch OL-TOU Cust Fcst'!$C13*'Non-Residential TSM UC Adj'!H14</f>
        <v>0</v>
      </c>
      <c r="I14" s="41">
        <f>IF(SUM(F14:H14)=0,0,SUM(F14:H14)/'Sch AL-TOU Cust Fcst'!C13)</f>
        <v>0</v>
      </c>
      <c r="J14" s="109">
        <f>'Sch OL-TOU Cust Fcst'!$D13*'Non-Residential TSM UC Adj'!J14</f>
        <v>0</v>
      </c>
      <c r="K14" s="23">
        <f>'Sch OL-TOU Cust Fcst'!$D13*'Non-Residential TSM UC Adj'!K14</f>
        <v>0</v>
      </c>
      <c r="L14" s="23">
        <f>'Sch OL-TOU Cust Fcst'!$D13*'Non-Residential TSM UC Adj'!L14</f>
        <v>0</v>
      </c>
      <c r="M14" s="41">
        <f>IF(SUM(J14:L14)=0,0,SUM(J14:L14)/'Sch AL-TOU Cust Fcst'!D13)</f>
        <v>0</v>
      </c>
      <c r="N14" s="109">
        <f>'Sch OL-TOU Cust Fcst'!$E13*'Non-Residential TSM UC Adj'!N14</f>
        <v>0</v>
      </c>
      <c r="O14" s="23">
        <f>'Sch OL-TOU Cust Fcst'!$E13*'Non-Residential TSM UC Adj'!O14</f>
        <v>0</v>
      </c>
      <c r="P14" s="23">
        <f>'Sch OL-TOU Cust Fcst'!$E13*'Non-Residential TSM UC Adj'!P14</f>
        <v>0</v>
      </c>
      <c r="Q14" s="41">
        <f>IF(SUM(N14:P14)=0,0,SUM(N14:P14)/'Sch AL-TOU Cust Fcst'!E13)</f>
        <v>0</v>
      </c>
      <c r="R14" s="23">
        <f t="shared" si="1"/>
        <v>0</v>
      </c>
      <c r="S14" s="23">
        <f t="shared" si="0"/>
        <v>0</v>
      </c>
      <c r="T14" s="23">
        <f t="shared" si="0"/>
        <v>0</v>
      </c>
      <c r="U14" s="41">
        <f>IF(SUM(R14:T14)=0,0,SUM(R14:T14)/'Sch AL-TOU Cust Fcst'!F13)</f>
        <v>0</v>
      </c>
    </row>
    <row r="15" spans="1:23">
      <c r="A15" s="126" t="s">
        <v>11</v>
      </c>
      <c r="B15" s="109">
        <f>'Sch OL-TOU Cust Fcst'!$B14*'Non-Residential TSM UC Adj'!B15</f>
        <v>0</v>
      </c>
      <c r="C15" s="23">
        <f>'Sch OL-TOU Cust Fcst'!$B14*'Non-Residential TSM UC Adj'!C15</f>
        <v>0</v>
      </c>
      <c r="D15" s="23">
        <f>'Sch OL-TOU Cust Fcst'!$B14*'Non-Residential TSM UC Adj'!D15</f>
        <v>0</v>
      </c>
      <c r="E15" s="41">
        <f>IF(SUM(B15:D15)=0,0,SUM(B15:D15)/'Sch AL-TOU Cust Fcst'!B14)</f>
        <v>0</v>
      </c>
      <c r="F15" s="109">
        <f>'Sch OL-TOU Cust Fcst'!$C14*'Non-Residential TSM UC Adj'!F15</f>
        <v>0</v>
      </c>
      <c r="G15" s="23">
        <f>'Sch OL-TOU Cust Fcst'!$C14*'Non-Residential TSM UC Adj'!G15</f>
        <v>0</v>
      </c>
      <c r="H15" s="23">
        <f>'Sch OL-TOU Cust Fcst'!$C14*'Non-Residential TSM UC Adj'!H15</f>
        <v>0</v>
      </c>
      <c r="I15" s="41">
        <f>IF(SUM(F15:H15)=0,0,SUM(F15:H15)/'Sch AL-TOU Cust Fcst'!C14)</f>
        <v>0</v>
      </c>
      <c r="J15" s="109">
        <f>'Sch OL-TOU Cust Fcst'!$D14*'Non-Residential TSM UC Adj'!J15</f>
        <v>0</v>
      </c>
      <c r="K15" s="23">
        <f>'Sch OL-TOU Cust Fcst'!$D14*'Non-Residential TSM UC Adj'!K15</f>
        <v>0</v>
      </c>
      <c r="L15" s="23">
        <f>'Sch OL-TOU Cust Fcst'!$D14*'Non-Residential TSM UC Adj'!L15</f>
        <v>0</v>
      </c>
      <c r="M15" s="41">
        <f>IF(SUM(J15:L15)=0,0,SUM(J15:L15)/'Sch AL-TOU Cust Fcst'!D14)</f>
        <v>0</v>
      </c>
      <c r="N15" s="109">
        <f>'Sch OL-TOU Cust Fcst'!$E14*'Non-Residential TSM UC Adj'!N15</f>
        <v>52531.153642294681</v>
      </c>
      <c r="O15" s="23">
        <f>'Sch OL-TOU Cust Fcst'!$E14*'Non-Residential TSM UC Adj'!O15</f>
        <v>4321.6498045209801</v>
      </c>
      <c r="P15" s="23">
        <f>'Sch OL-TOU Cust Fcst'!$E14*'Non-Residential TSM UC Adj'!P15</f>
        <v>2565.8792310825729</v>
      </c>
      <c r="Q15" s="41">
        <f>IF(SUM(N15:P15)=0,0,SUM(N15:P15)/'Sch AL-TOU Cust Fcst'!E14)</f>
        <v>2970.9341338949116</v>
      </c>
      <c r="R15" s="23">
        <f t="shared" si="1"/>
        <v>52531.153642294681</v>
      </c>
      <c r="S15" s="23">
        <f t="shared" si="0"/>
        <v>4321.6498045209801</v>
      </c>
      <c r="T15" s="23">
        <f t="shared" si="0"/>
        <v>2565.8792310825729</v>
      </c>
      <c r="U15" s="41">
        <f>IF(SUM(R15:T15)=0,0,SUM(R15:T15)/'Sch AL-TOU Cust Fcst'!F14)</f>
        <v>571.33348728748308</v>
      </c>
      <c r="W15" s="18"/>
    </row>
    <row r="16" spans="1:23">
      <c r="A16" s="126" t="s">
        <v>106</v>
      </c>
      <c r="B16" s="109">
        <f>'Sch OL-TOU Cust Fcst'!$B15*'Non-Residential TSM UC Adj'!B16</f>
        <v>0</v>
      </c>
      <c r="C16" s="23">
        <f>'Sch OL-TOU Cust Fcst'!$B15*'Non-Residential TSM UC Adj'!C16</f>
        <v>0</v>
      </c>
      <c r="D16" s="23">
        <f>'Sch OL-TOU Cust Fcst'!$B15*'Non-Residential TSM UC Adj'!D16</f>
        <v>0</v>
      </c>
      <c r="E16" s="41">
        <f>IF(SUM(B16:D16)=0,0,SUM(B16:D16)/'Sch AL-TOU Cust Fcst'!B15)</f>
        <v>0</v>
      </c>
      <c r="F16" s="109">
        <f>'Sch OL-TOU Cust Fcst'!$C15*'Non-Residential TSM UC Adj'!F16</f>
        <v>0</v>
      </c>
      <c r="G16" s="23">
        <f>'Sch OL-TOU Cust Fcst'!$C15*'Non-Residential TSM UC Adj'!G16</f>
        <v>0</v>
      </c>
      <c r="H16" s="23">
        <f>'Sch OL-TOU Cust Fcst'!$C15*'Non-Residential TSM UC Adj'!H16</f>
        <v>0</v>
      </c>
      <c r="I16" s="41">
        <f>IF(SUM(F16:H16)=0,0,SUM(F16:H16)/'Sch AL-TOU Cust Fcst'!C15)</f>
        <v>0</v>
      </c>
      <c r="J16" s="109">
        <f>'Sch OL-TOU Cust Fcst'!$D15*'Non-Residential TSM UC Adj'!J16</f>
        <v>0</v>
      </c>
      <c r="K16" s="23">
        <f>'Sch OL-TOU Cust Fcst'!$D15*'Non-Residential TSM UC Adj'!K16</f>
        <v>0</v>
      </c>
      <c r="L16" s="23">
        <f>'Sch OL-TOU Cust Fcst'!$D15*'Non-Residential TSM UC Adj'!L16</f>
        <v>0</v>
      </c>
      <c r="M16" s="41">
        <f>IF(SUM(J16:L16)=0,0,SUM(J16:L16)/'Sch AL-TOU Cust Fcst'!D15)</f>
        <v>0</v>
      </c>
      <c r="N16" s="109">
        <f>'Sch OL-TOU Cust Fcst'!$E15*'Non-Residential TSM UC Adj'!N16</f>
        <v>0</v>
      </c>
      <c r="O16" s="23">
        <f>'Sch OL-TOU Cust Fcst'!$E15*'Non-Residential TSM UC Adj'!O16</f>
        <v>0</v>
      </c>
      <c r="P16" s="23">
        <f>'Sch OL-TOU Cust Fcst'!$E15*'Non-Residential TSM UC Adj'!P16</f>
        <v>0</v>
      </c>
      <c r="Q16" s="41">
        <f>IF(SUM(N16:P16)=0,0,SUM(N16:P16)/'Sch AL-TOU Cust Fcst'!E15)</f>
        <v>0</v>
      </c>
      <c r="R16" s="23">
        <f t="shared" si="1"/>
        <v>0</v>
      </c>
      <c r="S16" s="23">
        <f t="shared" si="0"/>
        <v>0</v>
      </c>
      <c r="T16" s="23">
        <f t="shared" si="0"/>
        <v>0</v>
      </c>
      <c r="U16" s="41">
        <f>IF(SUM(R16:T16)=0,0,SUM(R16:T16)/'Sch AL-TOU Cust Fcst'!F15)</f>
        <v>0</v>
      </c>
    </row>
    <row r="17" spans="1:21">
      <c r="A17" s="126" t="s">
        <v>107</v>
      </c>
      <c r="B17" s="109">
        <f>'Sch OL-TOU Cust Fcst'!$B16*'Non-Residential TSM UC Adj'!J17</f>
        <v>0</v>
      </c>
      <c r="C17" s="23">
        <f>'Sch OL-TOU Cust Fcst'!$B16*'Non-Residential TSM UC Adj'!K17</f>
        <v>0</v>
      </c>
      <c r="D17" s="23">
        <f>'Sch OL-TOU Cust Fcst'!$B16*'Non-Residential TSM UC Adj'!L17</f>
        <v>0</v>
      </c>
      <c r="E17" s="41">
        <f>IF(SUM(B17:D17)=0,0,SUM(B17:D17)/'Sch AL-TOU Cust Fcst'!B16)</f>
        <v>0</v>
      </c>
      <c r="F17" s="109">
        <f>'Sch OL-TOU Cust Fcst'!$C16*'Non-Residential TSM UC Adj'!F17</f>
        <v>0</v>
      </c>
      <c r="G17" s="23">
        <f>'Sch OL-TOU Cust Fcst'!$C16*'Non-Residential TSM UC Adj'!G17</f>
        <v>0</v>
      </c>
      <c r="H17" s="23">
        <f>'Sch OL-TOU Cust Fcst'!$C16*'Non-Residential TSM UC Adj'!H17</f>
        <v>0</v>
      </c>
      <c r="I17" s="41">
        <f>IF(SUM(F17:H17)=0,0,SUM(F17:H17)/'Sch AL-TOU Cust Fcst'!C16)</f>
        <v>0</v>
      </c>
      <c r="J17" s="109">
        <f>'Sch OL-TOU Cust Fcst'!$D16*'Non-Residential TSM UC Adj'!J17</f>
        <v>0</v>
      </c>
      <c r="K17" s="23">
        <f>'Sch OL-TOU Cust Fcst'!$D16*'Non-Residential TSM UC Adj'!K17</f>
        <v>0</v>
      </c>
      <c r="L17" s="23">
        <f>'Sch OL-TOU Cust Fcst'!$D16*'Non-Residential TSM UC Adj'!L17</f>
        <v>0</v>
      </c>
      <c r="M17" s="41">
        <f>IF(SUM(J17:L17)=0,0,SUM(J17:L17)/'Sch AL-TOU Cust Fcst'!D16)</f>
        <v>0</v>
      </c>
      <c r="N17" s="109">
        <f>'Sch OL-TOU Cust Fcst'!$E16*'Non-Residential TSM UC Adj'!N17</f>
        <v>0</v>
      </c>
      <c r="O17" s="23">
        <f>'Sch OL-TOU Cust Fcst'!$E16*'Non-Residential TSM UC Adj'!O17</f>
        <v>0</v>
      </c>
      <c r="P17" s="23">
        <f>'Sch OL-TOU Cust Fcst'!$E16*'Non-Residential TSM UC Adj'!P17</f>
        <v>0</v>
      </c>
      <c r="Q17" s="41">
        <f>IF(SUM(N17:P17)=0,0,SUM(N17:P17)/'Sch AL-TOU Cust Fcst'!E16)</f>
        <v>0</v>
      </c>
      <c r="R17" s="23">
        <f t="shared" si="1"/>
        <v>0</v>
      </c>
      <c r="S17" s="23">
        <f t="shared" si="0"/>
        <v>0</v>
      </c>
      <c r="T17" s="23">
        <f t="shared" si="0"/>
        <v>0</v>
      </c>
      <c r="U17" s="41">
        <f>IF(SUM(R17:T17)=0,0,SUM(R17:T17)/'Sch AL-TOU Cust Fcst'!F16)</f>
        <v>0</v>
      </c>
    </row>
    <row r="18" spans="1:21">
      <c r="A18" s="126" t="s">
        <v>12</v>
      </c>
      <c r="B18" s="109">
        <f>'Sch OL-TOU Cust Fcst'!$B17*'Non-Residential TSM UC Adj'!J18</f>
        <v>0</v>
      </c>
      <c r="C18" s="23">
        <f>'Sch OL-TOU Cust Fcst'!$B17*'Non-Residential TSM UC Adj'!K18</f>
        <v>0</v>
      </c>
      <c r="D18" s="23">
        <f>'Sch OL-TOU Cust Fcst'!$B17*'Non-Residential TSM UC Adj'!L18</f>
        <v>0</v>
      </c>
      <c r="E18" s="41">
        <f>IF(SUM(B18:D18)=0,0,SUM(B18:D18)/'Sch AL-TOU Cust Fcst'!B17)</f>
        <v>0</v>
      </c>
      <c r="F18" s="109">
        <f>'Sch OL-TOU Cust Fcst'!$C17*'Non-Residential TSM UC Adj'!J18</f>
        <v>0</v>
      </c>
      <c r="G18" s="23">
        <f>'Sch OL-TOU Cust Fcst'!$C17*'Non-Residential TSM UC Adj'!K18</f>
        <v>0</v>
      </c>
      <c r="H18" s="23">
        <f>'Sch OL-TOU Cust Fcst'!$C17*'Non-Residential TSM UC Adj'!L18</f>
        <v>0</v>
      </c>
      <c r="I18" s="41">
        <f>IF(SUM(F18:H18)=0,0,SUM(F18:H18)/'Sch AL-TOU Cust Fcst'!C17)</f>
        <v>0</v>
      </c>
      <c r="J18" s="109">
        <f>'Sch OL-TOU Cust Fcst'!$D17*'Non-Residential TSM UC Adj'!J18</f>
        <v>0</v>
      </c>
      <c r="K18" s="23">
        <f>'Sch OL-TOU Cust Fcst'!$D17*'Non-Residential TSM UC Adj'!K18</f>
        <v>0</v>
      </c>
      <c r="L18" s="23">
        <f>'Sch OL-TOU Cust Fcst'!$D17*'Non-Residential TSM UC Adj'!L18</f>
        <v>0</v>
      </c>
      <c r="M18" s="41">
        <f>IF(SUM(J18:L18)=0,0,SUM(J18:L18)/'Sch AL-TOU Cust Fcst'!D17)</f>
        <v>0</v>
      </c>
      <c r="N18" s="109">
        <f>'Sch OL-TOU Cust Fcst'!$E17*'Non-Residential TSM UC Adj'!N18</f>
        <v>0</v>
      </c>
      <c r="O18" s="23">
        <f>'Sch OL-TOU Cust Fcst'!$E17*'Non-Residential TSM UC Adj'!O18</f>
        <v>0</v>
      </c>
      <c r="P18" s="23">
        <f>'Sch OL-TOU Cust Fcst'!$E17*'Non-Residential TSM UC Adj'!P18</f>
        <v>0</v>
      </c>
      <c r="Q18" s="41">
        <f>IF(SUM(N18:P18)=0,0,SUM(N18:P18)/'Sch AL-TOU Cust Fcst'!E17)</f>
        <v>0</v>
      </c>
      <c r="R18" s="23">
        <f t="shared" si="1"/>
        <v>0</v>
      </c>
      <c r="S18" s="23">
        <f t="shared" si="0"/>
        <v>0</v>
      </c>
      <c r="T18" s="23">
        <f t="shared" si="0"/>
        <v>0</v>
      </c>
      <c r="U18" s="41">
        <f>IF(SUM(R18:T18)=0,0,SUM(R18:T18)/'Sch AL-TOU Cust Fcst'!F17)</f>
        <v>0</v>
      </c>
    </row>
    <row r="19" spans="1:21">
      <c r="A19" s="126" t="s">
        <v>13</v>
      </c>
      <c r="B19" s="109">
        <f>'Sch OL-TOU Cust Fcst'!$B18*'Non-Residential TSM UC Adj'!J19</f>
        <v>0</v>
      </c>
      <c r="C19" s="23">
        <f>'Sch OL-TOU Cust Fcst'!$B18*'Non-Residential TSM UC Adj'!K19</f>
        <v>0</v>
      </c>
      <c r="D19" s="23">
        <f>'Sch OL-TOU Cust Fcst'!$B18*'Non-Residential TSM UC Adj'!L19</f>
        <v>0</v>
      </c>
      <c r="E19" s="41">
        <f>IF(SUM(B19:D19)=0,0,SUM(B19:D19)/'Sch AL-TOU Cust Fcst'!B18)</f>
        <v>0</v>
      </c>
      <c r="F19" s="109">
        <f>'Sch OL-TOU Cust Fcst'!$C18*'Non-Residential TSM UC Adj'!J19</f>
        <v>0</v>
      </c>
      <c r="G19" s="23">
        <f>'Sch OL-TOU Cust Fcst'!$C18*'Non-Residential TSM UC Adj'!K19</f>
        <v>0</v>
      </c>
      <c r="H19" s="23">
        <f>'Sch OL-TOU Cust Fcst'!$C18*'Non-Residential TSM UC Adj'!L19</f>
        <v>0</v>
      </c>
      <c r="I19" s="41">
        <f>IF(SUM(F19:H19)=0,0,SUM(F19:H19)/'Sch AL-TOU Cust Fcst'!C18)</f>
        <v>0</v>
      </c>
      <c r="J19" s="109">
        <f>'Sch OL-TOU Cust Fcst'!$D18*'Non-Residential TSM UC Adj'!J19</f>
        <v>0</v>
      </c>
      <c r="K19" s="23">
        <f>'Sch OL-TOU Cust Fcst'!$D18*'Non-Residential TSM UC Adj'!K19</f>
        <v>0</v>
      </c>
      <c r="L19" s="23">
        <f>'Sch OL-TOU Cust Fcst'!$D18*'Non-Residential TSM UC Adj'!L19</f>
        <v>0</v>
      </c>
      <c r="M19" s="41">
        <f>IF(SUM(J19:L19)=0,0,SUM(J19:L19)/'Sch AL-TOU Cust Fcst'!D18)</f>
        <v>0</v>
      </c>
      <c r="N19" s="109">
        <f>'Sch OL-TOU Cust Fcst'!$E18*'Non-Residential TSM UC Adj'!N19</f>
        <v>0</v>
      </c>
      <c r="O19" s="23">
        <f>'Sch OL-TOU Cust Fcst'!$E18*'Non-Residential TSM UC Adj'!O19</f>
        <v>0</v>
      </c>
      <c r="P19" s="23">
        <f>'Sch OL-TOU Cust Fcst'!$E18*'Non-Residential TSM UC Adj'!P19</f>
        <v>0</v>
      </c>
      <c r="Q19" s="41">
        <f>IF(SUM(N19:P19)=0,0,SUM(N19:P19)/'Sch AL-TOU Cust Fcst'!E18)</f>
        <v>0</v>
      </c>
      <c r="R19" s="23">
        <f t="shared" si="1"/>
        <v>0</v>
      </c>
      <c r="S19" s="23">
        <f t="shared" si="0"/>
        <v>0</v>
      </c>
      <c r="T19" s="23">
        <f t="shared" si="0"/>
        <v>0</v>
      </c>
      <c r="U19" s="41">
        <f>IF(SUM(R19:T19)=0,0,SUM(R19:T19)/'Sch AL-TOU Cust Fcst'!F18)</f>
        <v>0</v>
      </c>
    </row>
    <row r="20" spans="1:21">
      <c r="A20" s="126" t="s">
        <v>108</v>
      </c>
      <c r="B20" s="109">
        <f>'Sch OL-TOU Cust Fcst'!$B19*'Non-Residential TSM UC Adj'!J20</f>
        <v>0</v>
      </c>
      <c r="C20" s="23">
        <f>'Sch OL-TOU Cust Fcst'!$B19*'Non-Residential TSM UC Adj'!K20</f>
        <v>0</v>
      </c>
      <c r="D20" s="23">
        <f>'Sch OL-TOU Cust Fcst'!$B19*'Non-Residential TSM UC Adj'!L20</f>
        <v>0</v>
      </c>
      <c r="E20" s="41">
        <f>IF(SUM(B20:D20)=0,0,SUM(B20:D20)/'Sch AL-TOU Cust Fcst'!B19)</f>
        <v>0</v>
      </c>
      <c r="F20" s="109">
        <f>'Sch OL-TOU Cust Fcst'!$C19*'Non-Residential TSM UC Adj'!J20</f>
        <v>0</v>
      </c>
      <c r="G20" s="23">
        <f>'Sch OL-TOU Cust Fcst'!$C19*'Non-Residential TSM UC Adj'!K20</f>
        <v>0</v>
      </c>
      <c r="H20" s="23">
        <f>'Sch OL-TOU Cust Fcst'!$C19*'Non-Residential TSM UC Adj'!L20</f>
        <v>0</v>
      </c>
      <c r="I20" s="41">
        <f>IF(SUM(F20:H20)=0,0,SUM(F20:H20)/'Sch AL-TOU Cust Fcst'!C19)</f>
        <v>0</v>
      </c>
      <c r="J20" s="109">
        <f>'Sch OL-TOU Cust Fcst'!$D19*'Non-Residential TSM UC Adj'!J20</f>
        <v>0</v>
      </c>
      <c r="K20" s="23">
        <f>'Sch OL-TOU Cust Fcst'!$D19*'Non-Residential TSM UC Adj'!K20</f>
        <v>0</v>
      </c>
      <c r="L20" s="23">
        <f>'Sch OL-TOU Cust Fcst'!$D19*'Non-Residential TSM UC Adj'!L20</f>
        <v>0</v>
      </c>
      <c r="M20" s="41">
        <f>IF(SUM(J20:L20)=0,0,SUM(J20:L20)/'Sch AL-TOU Cust Fcst'!D19)</f>
        <v>0</v>
      </c>
      <c r="N20" s="109">
        <f>'Sch OL-TOU Cust Fcst'!$E19*'Non-Residential TSM UC Adj'!N20</f>
        <v>0</v>
      </c>
      <c r="O20" s="23">
        <f>'Sch OL-TOU Cust Fcst'!$E19*'Non-Residential TSM UC Adj'!O20</f>
        <v>0</v>
      </c>
      <c r="P20" s="23">
        <f>'Sch OL-TOU Cust Fcst'!$E19*'Non-Residential TSM UC Adj'!P20</f>
        <v>0</v>
      </c>
      <c r="Q20" s="41">
        <f>IF(SUM(N20:P20)=0,0,SUM(N20:P20)/'Sch AL-TOU Cust Fcst'!E19)</f>
        <v>0</v>
      </c>
      <c r="R20" s="23">
        <f t="shared" si="1"/>
        <v>0</v>
      </c>
      <c r="S20" s="23">
        <f t="shared" si="0"/>
        <v>0</v>
      </c>
      <c r="T20" s="23">
        <f t="shared" si="0"/>
        <v>0</v>
      </c>
      <c r="U20" s="41">
        <f>IF(SUM(R20:T20)=0,0,SUM(R20:T20)/'Sch AL-TOU Cust Fcst'!F19)</f>
        <v>0</v>
      </c>
    </row>
    <row r="21" spans="1:21">
      <c r="A21" s="126" t="s">
        <v>109</v>
      </c>
      <c r="B21" s="109">
        <f>'Sch OL-TOU Cust Fcst'!$B20*'Non-Residential TSM UC Adj'!J21</f>
        <v>0</v>
      </c>
      <c r="C21" s="23">
        <f>'Sch OL-TOU Cust Fcst'!$B20*'Non-Residential TSM UC Adj'!K21</f>
        <v>0</v>
      </c>
      <c r="D21" s="23">
        <f>'Sch OL-TOU Cust Fcst'!$B20*'Non-Residential TSM UC Adj'!L21</f>
        <v>0</v>
      </c>
      <c r="E21" s="41">
        <f>IF(SUM(B21:D21)=0,0,SUM(B21:D21)/'Sch AL-TOU Cust Fcst'!B20)</f>
        <v>0</v>
      </c>
      <c r="F21" s="109">
        <f>'Sch OL-TOU Cust Fcst'!$C20*'Non-Residential TSM UC Adj'!J21</f>
        <v>0</v>
      </c>
      <c r="G21" s="23">
        <f>'Sch OL-TOU Cust Fcst'!$C20*'Non-Residential TSM UC Adj'!K21</f>
        <v>0</v>
      </c>
      <c r="H21" s="23">
        <f>'Sch OL-TOU Cust Fcst'!$C20*'Non-Residential TSM UC Adj'!L21</f>
        <v>0</v>
      </c>
      <c r="I21" s="41">
        <f>IF(SUM(F21:H21)=0,0,SUM(F21:H21)/'Sch AL-TOU Cust Fcst'!C20)</f>
        <v>0</v>
      </c>
      <c r="J21" s="109">
        <f>'Sch OL-TOU Cust Fcst'!$D20*'Non-Residential TSM UC Adj'!J21</f>
        <v>0</v>
      </c>
      <c r="K21" s="23">
        <f>'Sch OL-TOU Cust Fcst'!$D20*'Non-Residential TSM UC Adj'!K21</f>
        <v>0</v>
      </c>
      <c r="L21" s="23">
        <f>'Sch OL-TOU Cust Fcst'!$D20*'Non-Residential TSM UC Adj'!L21</f>
        <v>0</v>
      </c>
      <c r="M21" s="41">
        <f>IF(SUM(J21:L21)=0,0,SUM(J21:L21)/'Sch AL-TOU Cust Fcst'!D20)</f>
        <v>0</v>
      </c>
      <c r="N21" s="109">
        <f>'Sch OL-TOU Cust Fcst'!$E20*'Non-Residential TSM UC Adj'!N21</f>
        <v>0</v>
      </c>
      <c r="O21" s="23">
        <f>'Sch OL-TOU Cust Fcst'!$E20*'Non-Residential TSM UC Adj'!O21</f>
        <v>0</v>
      </c>
      <c r="P21" s="23">
        <f>'Sch OL-TOU Cust Fcst'!$E20*'Non-Residential TSM UC Adj'!P21</f>
        <v>0</v>
      </c>
      <c r="Q21" s="41">
        <f>IF(SUM(N21:P21)=0,0,SUM(N21:P21)/'Sch AL-TOU Cust Fcst'!E20)</f>
        <v>0</v>
      </c>
      <c r="R21" s="23">
        <f t="shared" si="1"/>
        <v>0</v>
      </c>
      <c r="S21" s="23">
        <f t="shared" si="0"/>
        <v>0</v>
      </c>
      <c r="T21" s="23">
        <f t="shared" si="0"/>
        <v>0</v>
      </c>
      <c r="U21" s="41">
        <f>IF(SUM(R21:T21)=0,0,SUM(R21:T21)/'Sch AL-TOU Cust Fcst'!F20)</f>
        <v>0</v>
      </c>
    </row>
    <row r="22" spans="1:21">
      <c r="A22" s="124" t="s">
        <v>14</v>
      </c>
      <c r="B22" s="109">
        <f>'Sch OL-TOU Cust Fcst'!$B21*'Non-Residential TSM UC Adj'!J22</f>
        <v>0</v>
      </c>
      <c r="C22" s="23">
        <f>'Sch OL-TOU Cust Fcst'!$B21*'Non-Residential TSM UC Adj'!K22</f>
        <v>0</v>
      </c>
      <c r="D22" s="23">
        <f>'Sch OL-TOU Cust Fcst'!$B21*'Non-Residential TSM UC Adj'!L22</f>
        <v>0</v>
      </c>
      <c r="E22" s="41">
        <f>IF(SUM(B22:D22)=0,0,SUM(B22:D22)/'Sch AL-TOU Cust Fcst'!B21)</f>
        <v>0</v>
      </c>
      <c r="F22" s="109">
        <f>'Sch OL-TOU Cust Fcst'!$C21*'Non-Residential TSM UC Adj'!J22</f>
        <v>0</v>
      </c>
      <c r="G22" s="23">
        <f>'Sch OL-TOU Cust Fcst'!$C21*'Non-Residential TSM UC Adj'!K22</f>
        <v>0</v>
      </c>
      <c r="H22" s="23">
        <f>'Sch OL-TOU Cust Fcst'!$C21*'Non-Residential TSM UC Adj'!L22</f>
        <v>0</v>
      </c>
      <c r="I22" s="41">
        <f>IF(SUM(F22:H22)=0,0,SUM(F22:H22)/'Sch AL-TOU Cust Fcst'!C21)</f>
        <v>0</v>
      </c>
      <c r="J22" s="109">
        <f>'Sch OL-TOU Cust Fcst'!$D21*'Non-Residential TSM UC Adj'!J22</f>
        <v>0</v>
      </c>
      <c r="K22" s="23">
        <f>'Sch OL-TOU Cust Fcst'!$D21*'Non-Residential TSM UC Adj'!K22</f>
        <v>0</v>
      </c>
      <c r="L22" s="23">
        <f>'Sch OL-TOU Cust Fcst'!$D21*'Non-Residential TSM UC Adj'!L22</f>
        <v>0</v>
      </c>
      <c r="M22" s="41">
        <f>IF(SUM(J22:L22)=0,0,SUM(J22:L22)/'Sch AL-TOU Cust Fcst'!D21)</f>
        <v>0</v>
      </c>
      <c r="N22" s="109">
        <f>'Sch OL-TOU Cust Fcst'!$E21*'Non-Residential TSM UC Adj'!N22</f>
        <v>0</v>
      </c>
      <c r="O22" s="23">
        <f>'Sch OL-TOU Cust Fcst'!$E21*'Non-Residential TSM UC Adj'!O22</f>
        <v>0</v>
      </c>
      <c r="P22" s="23">
        <f>'Sch OL-TOU Cust Fcst'!$E21*'Non-Residential TSM UC Adj'!P22</f>
        <v>0</v>
      </c>
      <c r="Q22" s="41">
        <f>IF(SUM(N22:P22)=0,0,SUM(N22:P22)/'Sch AL-TOU Cust Fcst'!E21)</f>
        <v>0</v>
      </c>
      <c r="R22" s="23">
        <f t="shared" si="1"/>
        <v>0</v>
      </c>
      <c r="S22" s="23">
        <f t="shared" si="0"/>
        <v>0</v>
      </c>
      <c r="T22" s="23">
        <f t="shared" si="0"/>
        <v>0</v>
      </c>
      <c r="U22" s="41">
        <f>IF(SUM(R22:T22)=0,0,SUM(R22:T22)/'Sch AL-TOU Cust Fcst'!F21)</f>
        <v>0</v>
      </c>
    </row>
    <row r="23" spans="1:21">
      <c r="A23" s="126" t="s">
        <v>15</v>
      </c>
      <c r="B23" s="109">
        <f>'Sch OL-TOU Cust Fcst'!$B22*'Non-Residential TSM UC Adj'!J23</f>
        <v>0</v>
      </c>
      <c r="C23" s="23">
        <f>'Sch OL-TOU Cust Fcst'!$B22*'Non-Residential TSM UC Adj'!K23</f>
        <v>0</v>
      </c>
      <c r="D23" s="23">
        <f>'Sch OL-TOU Cust Fcst'!$B22*'Non-Residential TSM UC Adj'!L23</f>
        <v>0</v>
      </c>
      <c r="E23" s="41">
        <f>IF(SUM(B23:D23)=0,0,SUM(B23:D23)/'Sch AL-TOU Cust Fcst'!B22)</f>
        <v>0</v>
      </c>
      <c r="F23" s="109">
        <f>'Sch OL-TOU Cust Fcst'!$C22*'Non-Residential TSM UC Adj'!J23</f>
        <v>0</v>
      </c>
      <c r="G23" s="23">
        <f>'Sch OL-TOU Cust Fcst'!$C22*'Non-Residential TSM UC Adj'!K23</f>
        <v>0</v>
      </c>
      <c r="H23" s="23">
        <f>'Sch OL-TOU Cust Fcst'!$C22*'Non-Residential TSM UC Adj'!L23</f>
        <v>0</v>
      </c>
      <c r="I23" s="41">
        <f>IF(SUM(F23:H23)=0,0,SUM(F23:H23)/'Sch AL-TOU Cust Fcst'!C22)</f>
        <v>0</v>
      </c>
      <c r="J23" s="109">
        <f>'Sch OL-TOU Cust Fcst'!$D22*'Non-Residential TSM UC Adj'!J23</f>
        <v>0</v>
      </c>
      <c r="K23" s="23">
        <f>'Sch OL-TOU Cust Fcst'!$D22*'Non-Residential TSM UC Adj'!K23</f>
        <v>0</v>
      </c>
      <c r="L23" s="23">
        <f>'Sch OL-TOU Cust Fcst'!$D22*'Non-Residential TSM UC Adj'!L23</f>
        <v>0</v>
      </c>
      <c r="M23" s="41">
        <f>IF(SUM(J23:L23)=0,0,SUM(J23:L23)/'Sch AL-TOU Cust Fcst'!D22)</f>
        <v>0</v>
      </c>
      <c r="N23" s="109">
        <f>'Sch OL-TOU Cust Fcst'!$E22*'Non-Residential TSM UC Adj'!N23</f>
        <v>0</v>
      </c>
      <c r="O23" s="23">
        <f>'Sch OL-TOU Cust Fcst'!$E22*'Non-Residential TSM UC Adj'!O23</f>
        <v>0</v>
      </c>
      <c r="P23" s="23">
        <f>'Sch OL-TOU Cust Fcst'!$E22*'Non-Residential TSM UC Adj'!P23</f>
        <v>0</v>
      </c>
      <c r="Q23" s="41">
        <f>IF(SUM(N23:P23)=0,0,SUM(N23:P23)/'Sch AL-TOU Cust Fcst'!E22)</f>
        <v>0</v>
      </c>
      <c r="R23" s="23">
        <f t="shared" si="1"/>
        <v>0</v>
      </c>
      <c r="S23" s="23">
        <f t="shared" ref="S23:S37" si="2">C23+G23+K23+O23</f>
        <v>0</v>
      </c>
      <c r="T23" s="23">
        <f t="shared" ref="T23:T37" si="3">D23+H23+L23+P23</f>
        <v>0</v>
      </c>
      <c r="U23" s="41">
        <f>IF(SUM(R23:T23)=0,0,SUM(R23:T23)/'Sch AL-TOU Cust Fcst'!F22)</f>
        <v>0</v>
      </c>
    </row>
    <row r="24" spans="1:21">
      <c r="A24" s="126" t="s">
        <v>16</v>
      </c>
      <c r="B24" s="109">
        <f>'Sch OL-TOU Cust Fcst'!$B23*'Non-Residential TSM UC Adj'!J24</f>
        <v>0</v>
      </c>
      <c r="C24" s="23">
        <f>'Sch OL-TOU Cust Fcst'!$B23*'Non-Residential TSM UC Adj'!K24</f>
        <v>0</v>
      </c>
      <c r="D24" s="23">
        <f>'Sch OL-TOU Cust Fcst'!$B23*'Non-Residential TSM UC Adj'!L24</f>
        <v>0</v>
      </c>
      <c r="E24" s="41">
        <f>IF(SUM(B24:D24)=0,0,SUM(B24:D24)/'Sch AL-TOU Cust Fcst'!B23)</f>
        <v>0</v>
      </c>
      <c r="F24" s="109">
        <f>'Sch OL-TOU Cust Fcst'!$C23*'Non-Residential TSM UC Adj'!J24</f>
        <v>0</v>
      </c>
      <c r="G24" s="23">
        <f>'Sch OL-TOU Cust Fcst'!$C23*'Non-Residential TSM UC Adj'!K24</f>
        <v>0</v>
      </c>
      <c r="H24" s="23">
        <f>'Sch OL-TOU Cust Fcst'!$C23*'Non-Residential TSM UC Adj'!L24</f>
        <v>0</v>
      </c>
      <c r="I24" s="41">
        <f>IF(SUM(F24:H24)=0,0,SUM(F24:H24)/'Sch AL-TOU Cust Fcst'!C23)</f>
        <v>0</v>
      </c>
      <c r="J24" s="109">
        <f>'Sch OL-TOU Cust Fcst'!$D23*'Non-Residential TSM UC Adj'!J24</f>
        <v>0</v>
      </c>
      <c r="K24" s="23">
        <f>'Sch OL-TOU Cust Fcst'!$D23*'Non-Residential TSM UC Adj'!K24</f>
        <v>0</v>
      </c>
      <c r="L24" s="23">
        <f>'Sch OL-TOU Cust Fcst'!$D23*'Non-Residential TSM UC Adj'!L24</f>
        <v>0</v>
      </c>
      <c r="M24" s="41">
        <f>IF(SUM(J24:L24)=0,0,SUM(J24:L24)/'Sch AL-TOU Cust Fcst'!D23)</f>
        <v>0</v>
      </c>
      <c r="N24" s="109">
        <f>'Sch OL-TOU Cust Fcst'!$E23*'Non-Residential TSM UC Adj'!N24</f>
        <v>0</v>
      </c>
      <c r="O24" s="23">
        <f>'Sch OL-TOU Cust Fcst'!$E23*'Non-Residential TSM UC Adj'!O24</f>
        <v>0</v>
      </c>
      <c r="P24" s="23">
        <f>'Sch OL-TOU Cust Fcst'!$E23*'Non-Residential TSM UC Adj'!P24</f>
        <v>0</v>
      </c>
      <c r="Q24" s="41">
        <f>IF(SUM(N24:P24)=0,0,SUM(N24:P24)/'Sch AL-TOU Cust Fcst'!E23)</f>
        <v>0</v>
      </c>
      <c r="R24" s="23">
        <f t="shared" si="1"/>
        <v>0</v>
      </c>
      <c r="S24" s="23">
        <f t="shared" si="2"/>
        <v>0</v>
      </c>
      <c r="T24" s="23">
        <f t="shared" si="3"/>
        <v>0</v>
      </c>
      <c r="U24" s="41">
        <f>IF(SUM(R24:T24)=0,0,SUM(R24:T24)/'Sch AL-TOU Cust Fcst'!F23)</f>
        <v>0</v>
      </c>
    </row>
    <row r="25" spans="1:21">
      <c r="A25" s="126" t="s">
        <v>17</v>
      </c>
      <c r="B25" s="109">
        <f>'Sch OL-TOU Cust Fcst'!$B24*'Non-Residential TSM UC Adj'!J25</f>
        <v>0</v>
      </c>
      <c r="C25" s="23">
        <f>'Sch OL-TOU Cust Fcst'!$B24*'Non-Residential TSM UC Adj'!K25</f>
        <v>0</v>
      </c>
      <c r="D25" s="23">
        <f>'Sch OL-TOU Cust Fcst'!$B24*'Non-Residential TSM UC Adj'!L25</f>
        <v>0</v>
      </c>
      <c r="E25" s="41">
        <f>IF(SUM(B25:D25)=0,0,SUM(B25:D25)/'Sch AL-TOU Cust Fcst'!B24)</f>
        <v>0</v>
      </c>
      <c r="F25" s="109">
        <f>'Sch OL-TOU Cust Fcst'!$C24*'Non-Residential TSM UC Adj'!J25</f>
        <v>0</v>
      </c>
      <c r="G25" s="23">
        <f>'Sch OL-TOU Cust Fcst'!$C24*'Non-Residential TSM UC Adj'!K25</f>
        <v>0</v>
      </c>
      <c r="H25" s="23">
        <f>'Sch OL-TOU Cust Fcst'!$C24*'Non-Residential TSM UC Adj'!L25</f>
        <v>0</v>
      </c>
      <c r="I25" s="41">
        <f>IF(SUM(F25:H25)=0,0,SUM(F25:H25)/'Sch AL-TOU Cust Fcst'!C24)</f>
        <v>0</v>
      </c>
      <c r="J25" s="109">
        <f>'Sch OL-TOU Cust Fcst'!$D24*'Non-Residential TSM UC Adj'!J25</f>
        <v>0</v>
      </c>
      <c r="K25" s="23">
        <f>'Sch OL-TOU Cust Fcst'!$D24*'Non-Residential TSM UC Adj'!K25</f>
        <v>0</v>
      </c>
      <c r="L25" s="23">
        <f>'Sch OL-TOU Cust Fcst'!$D24*'Non-Residential TSM UC Adj'!L25</f>
        <v>0</v>
      </c>
      <c r="M25" s="41">
        <f>IF(SUM(J25:L25)=0,0,SUM(J25:L25)/'Sch AL-TOU Cust Fcst'!D24)</f>
        <v>0</v>
      </c>
      <c r="N25" s="109">
        <f>'Sch OL-TOU Cust Fcst'!$E24*'Non-Residential TSM UC Adj'!N25</f>
        <v>0</v>
      </c>
      <c r="O25" s="23">
        <f>'Sch OL-TOU Cust Fcst'!$E24*'Non-Residential TSM UC Adj'!O25</f>
        <v>0</v>
      </c>
      <c r="P25" s="23">
        <f>'Sch OL-TOU Cust Fcst'!$E24*'Non-Residential TSM UC Adj'!P25</f>
        <v>0</v>
      </c>
      <c r="Q25" s="41">
        <f>IF(SUM(N25:P25)=0,0,SUM(N25:P25)/'Sch AL-TOU Cust Fcst'!E24)</f>
        <v>0</v>
      </c>
      <c r="R25" s="23">
        <f t="shared" si="1"/>
        <v>0</v>
      </c>
      <c r="S25" s="23">
        <f t="shared" si="2"/>
        <v>0</v>
      </c>
      <c r="T25" s="23">
        <f t="shared" si="3"/>
        <v>0</v>
      </c>
      <c r="U25" s="41">
        <f>IF(SUM(R25:T25)=0,0,SUM(R25:T25)/'Sch AL-TOU Cust Fcst'!F24)</f>
        <v>0</v>
      </c>
    </row>
    <row r="26" spans="1:21">
      <c r="A26" s="126" t="s">
        <v>18</v>
      </c>
      <c r="B26" s="109">
        <f>'Sch OL-TOU Cust Fcst'!$B25*'Non-Residential TSM UC Adj'!J26</f>
        <v>0</v>
      </c>
      <c r="C26" s="23">
        <f>'Sch OL-TOU Cust Fcst'!$B25*'Non-Residential TSM UC Adj'!K26</f>
        <v>0</v>
      </c>
      <c r="D26" s="23">
        <f>'Sch OL-TOU Cust Fcst'!$B25*'Non-Residential TSM UC Adj'!L26</f>
        <v>0</v>
      </c>
      <c r="E26" s="41">
        <f>IF(SUM(B26:D26)=0,0,SUM(B26:D26)/'Sch AL-TOU Cust Fcst'!B25)</f>
        <v>0</v>
      </c>
      <c r="F26" s="109">
        <f>'Sch OL-TOU Cust Fcst'!$C25*'Non-Residential TSM UC Adj'!J26</f>
        <v>0</v>
      </c>
      <c r="G26" s="23">
        <f>'Sch OL-TOU Cust Fcst'!$C25*'Non-Residential TSM UC Adj'!K26</f>
        <v>0</v>
      </c>
      <c r="H26" s="23">
        <f>'Sch OL-TOU Cust Fcst'!$C25*'Non-Residential TSM UC Adj'!L26</f>
        <v>0</v>
      </c>
      <c r="I26" s="41">
        <f>IF(SUM(F26:H26)=0,0,SUM(F26:H26)/'Sch AL-TOU Cust Fcst'!C25)</f>
        <v>0</v>
      </c>
      <c r="J26" s="109">
        <f>'Sch OL-TOU Cust Fcst'!$D25*'Non-Residential TSM UC Adj'!J26</f>
        <v>0</v>
      </c>
      <c r="K26" s="23">
        <f>'Sch OL-TOU Cust Fcst'!$D25*'Non-Residential TSM UC Adj'!K26</f>
        <v>0</v>
      </c>
      <c r="L26" s="23">
        <f>'Sch OL-TOU Cust Fcst'!$D25*'Non-Residential TSM UC Adj'!L26</f>
        <v>0</v>
      </c>
      <c r="M26" s="41">
        <f>IF(SUM(J26:L26)=0,0,SUM(J26:L26)/'Sch AL-TOU Cust Fcst'!D25)</f>
        <v>0</v>
      </c>
      <c r="N26" s="109">
        <f>'Sch OL-TOU Cust Fcst'!$E25*'Non-Residential TSM UC Adj'!N26</f>
        <v>0</v>
      </c>
      <c r="O26" s="23">
        <f>'Sch OL-TOU Cust Fcst'!$E25*'Non-Residential TSM UC Adj'!O26</f>
        <v>0</v>
      </c>
      <c r="P26" s="23">
        <f>'Sch OL-TOU Cust Fcst'!$E25*'Non-Residential TSM UC Adj'!P26</f>
        <v>0</v>
      </c>
      <c r="Q26" s="41">
        <f>IF(SUM(N26:P26)=0,0,SUM(N26:P26)/'Sch AL-TOU Cust Fcst'!E25)</f>
        <v>0</v>
      </c>
      <c r="R26" s="23">
        <f t="shared" si="1"/>
        <v>0</v>
      </c>
      <c r="S26" s="23">
        <f t="shared" si="2"/>
        <v>0</v>
      </c>
      <c r="T26" s="23">
        <f t="shared" si="3"/>
        <v>0</v>
      </c>
      <c r="U26" s="41">
        <f>IF(SUM(R26:T26)=0,0,SUM(R26:T26)/'Sch AL-TOU Cust Fcst'!F25)</f>
        <v>0</v>
      </c>
    </row>
    <row r="27" spans="1:21">
      <c r="A27" s="126" t="s">
        <v>19</v>
      </c>
      <c r="B27" s="109">
        <f>'Sch OL-TOU Cust Fcst'!$B26*'Non-Residential TSM UC Adj'!J27</f>
        <v>0</v>
      </c>
      <c r="C27" s="23">
        <f>'Sch OL-TOU Cust Fcst'!$B26*'Non-Residential TSM UC Adj'!K27</f>
        <v>0</v>
      </c>
      <c r="D27" s="23">
        <f>'Sch OL-TOU Cust Fcst'!$B26*'Non-Residential TSM UC Adj'!L27</f>
        <v>0</v>
      </c>
      <c r="E27" s="41">
        <f>IF(SUM(B27:D27)=0,0,SUM(B27:D27)/'Sch AL-TOU Cust Fcst'!B26)</f>
        <v>0</v>
      </c>
      <c r="F27" s="109">
        <f>'Sch OL-TOU Cust Fcst'!$C26*'Non-Residential TSM UC Adj'!J27</f>
        <v>0</v>
      </c>
      <c r="G27" s="23">
        <f>'Sch OL-TOU Cust Fcst'!$C26*'Non-Residential TSM UC Adj'!K27</f>
        <v>0</v>
      </c>
      <c r="H27" s="23">
        <f>'Sch OL-TOU Cust Fcst'!$C26*'Non-Residential TSM UC Adj'!L27</f>
        <v>0</v>
      </c>
      <c r="I27" s="41">
        <f>IF(SUM(F27:H27)=0,0,SUM(F27:H27)/'Sch AL-TOU Cust Fcst'!C26)</f>
        <v>0</v>
      </c>
      <c r="J27" s="109">
        <f>'Sch OL-TOU Cust Fcst'!$D26*'Non-Residential TSM UC Adj'!J27</f>
        <v>0</v>
      </c>
      <c r="K27" s="23">
        <f>'Sch OL-TOU Cust Fcst'!$D26*'Non-Residential TSM UC Adj'!K27</f>
        <v>0</v>
      </c>
      <c r="L27" s="23">
        <f>'Sch OL-TOU Cust Fcst'!$D26*'Non-Residential TSM UC Adj'!L27</f>
        <v>0</v>
      </c>
      <c r="M27" s="41">
        <f>IF(SUM(J27:L27)=0,0,SUM(J27:L27)/'Sch AL-TOU Cust Fcst'!D26)</f>
        <v>0</v>
      </c>
      <c r="N27" s="109">
        <f>'Sch OL-TOU Cust Fcst'!$E26*'Non-Residential TSM UC Adj'!N27</f>
        <v>0</v>
      </c>
      <c r="O27" s="23">
        <f>'Sch OL-TOU Cust Fcst'!$E26*'Non-Residential TSM UC Adj'!O27</f>
        <v>0</v>
      </c>
      <c r="P27" s="23">
        <f>'Sch OL-TOU Cust Fcst'!$E26*'Non-Residential TSM UC Adj'!P27</f>
        <v>0</v>
      </c>
      <c r="Q27" s="41">
        <f>IF(SUM(N27:P27)=0,0,SUM(N27:P27)/'Sch AL-TOU Cust Fcst'!E26)</f>
        <v>0</v>
      </c>
      <c r="R27" s="23">
        <f t="shared" si="1"/>
        <v>0</v>
      </c>
      <c r="S27" s="23">
        <f t="shared" si="2"/>
        <v>0</v>
      </c>
      <c r="T27" s="23">
        <f t="shared" si="3"/>
        <v>0</v>
      </c>
      <c r="U27" s="41">
        <f>IF(SUM(R27:T27)=0,0,SUM(R27:T27)/'Sch AL-TOU Cust Fcst'!F26)</f>
        <v>0</v>
      </c>
    </row>
    <row r="28" spans="1:21">
      <c r="A28" s="126" t="s">
        <v>20</v>
      </c>
      <c r="B28" s="109">
        <f>'Sch OL-TOU Cust Fcst'!$B27*'Non-Residential TSM UC Adj'!J28</f>
        <v>0</v>
      </c>
      <c r="C28" s="23">
        <f>'Sch OL-TOU Cust Fcst'!$B27*'Non-Residential TSM UC Adj'!K28</f>
        <v>0</v>
      </c>
      <c r="D28" s="23">
        <f>'Sch OL-TOU Cust Fcst'!$B27*'Non-Residential TSM UC Adj'!L28</f>
        <v>0</v>
      </c>
      <c r="E28" s="41">
        <f>IF(SUM(B28:D28)=0,0,SUM(B28:D28)/'Sch AL-TOU Cust Fcst'!B27)</f>
        <v>0</v>
      </c>
      <c r="F28" s="109">
        <f>'Sch OL-TOU Cust Fcst'!$C27*'Non-Residential TSM UC Adj'!J28</f>
        <v>0</v>
      </c>
      <c r="G28" s="23">
        <f>'Sch OL-TOU Cust Fcst'!$C27*'Non-Residential TSM UC Adj'!K28</f>
        <v>0</v>
      </c>
      <c r="H28" s="23">
        <f>'Sch OL-TOU Cust Fcst'!$C27*'Non-Residential TSM UC Adj'!L28</f>
        <v>0</v>
      </c>
      <c r="I28" s="41">
        <f>IF(SUM(F28:H28)=0,0,SUM(F28:H28)/'Sch AL-TOU Cust Fcst'!C27)</f>
        <v>0</v>
      </c>
      <c r="J28" s="109">
        <f>'Sch OL-TOU Cust Fcst'!$D27*'Non-Residential TSM UC Adj'!J28</f>
        <v>0</v>
      </c>
      <c r="K28" s="23">
        <f>'Sch OL-TOU Cust Fcst'!$D27*'Non-Residential TSM UC Adj'!K28</f>
        <v>0</v>
      </c>
      <c r="L28" s="23">
        <f>'Sch OL-TOU Cust Fcst'!$D27*'Non-Residential TSM UC Adj'!L28</f>
        <v>0</v>
      </c>
      <c r="M28" s="41">
        <f>IF(SUM(J28:L28)=0,0,SUM(J28:L28)/'Sch AL-TOU Cust Fcst'!D27)</f>
        <v>0</v>
      </c>
      <c r="N28" s="109">
        <f>'Sch OL-TOU Cust Fcst'!$E27*'Non-Residential TSM UC Adj'!N28</f>
        <v>0</v>
      </c>
      <c r="O28" s="23">
        <f>'Sch OL-TOU Cust Fcst'!$E27*'Non-Residential TSM UC Adj'!O28</f>
        <v>0</v>
      </c>
      <c r="P28" s="23">
        <f>'Sch OL-TOU Cust Fcst'!$E27*'Non-Residential TSM UC Adj'!P28</f>
        <v>0</v>
      </c>
      <c r="Q28" s="41">
        <f>IF(SUM(N28:P28)=0,0,SUM(N28:P28)/'Sch AL-TOU Cust Fcst'!E27)</f>
        <v>0</v>
      </c>
      <c r="R28" s="23">
        <f t="shared" si="1"/>
        <v>0</v>
      </c>
      <c r="S28" s="23">
        <f t="shared" si="2"/>
        <v>0</v>
      </c>
      <c r="T28" s="23">
        <f t="shared" si="3"/>
        <v>0</v>
      </c>
      <c r="U28" s="41">
        <f>IF(SUM(R28:T28)=0,0,SUM(R28:T28)/'Sch AL-TOU Cust Fcst'!F27)</f>
        <v>0</v>
      </c>
    </row>
    <row r="29" spans="1:21">
      <c r="A29" s="126" t="s">
        <v>21</v>
      </c>
      <c r="B29" s="109">
        <f>'Sch OL-TOU Cust Fcst'!$B28*'Non-Residential TSM UC Adj'!J29</f>
        <v>0</v>
      </c>
      <c r="C29" s="23">
        <f>'Sch OL-TOU Cust Fcst'!$B28*'Non-Residential TSM UC Adj'!K29</f>
        <v>0</v>
      </c>
      <c r="D29" s="23">
        <f>'Sch OL-TOU Cust Fcst'!$B28*'Non-Residential TSM UC Adj'!L29</f>
        <v>0</v>
      </c>
      <c r="E29" s="41">
        <f>IF(SUM(B29:D29)=0,0,SUM(B29:D29)/'Sch AL-TOU Cust Fcst'!B28)</f>
        <v>0</v>
      </c>
      <c r="F29" s="109">
        <f>'Sch OL-TOU Cust Fcst'!$C28*'Non-Residential TSM UC Adj'!J29</f>
        <v>0</v>
      </c>
      <c r="G29" s="23">
        <f>'Sch OL-TOU Cust Fcst'!$C28*'Non-Residential TSM UC Adj'!K29</f>
        <v>0</v>
      </c>
      <c r="H29" s="23">
        <f>'Sch OL-TOU Cust Fcst'!$C28*'Non-Residential TSM UC Adj'!L29</f>
        <v>0</v>
      </c>
      <c r="I29" s="41">
        <f>IF(SUM(F29:H29)=0,0,SUM(F29:H29)/'Sch AL-TOU Cust Fcst'!C28)</f>
        <v>0</v>
      </c>
      <c r="J29" s="109">
        <f>'Sch OL-TOU Cust Fcst'!$D28*'Non-Residential TSM UC Adj'!J29</f>
        <v>0</v>
      </c>
      <c r="K29" s="23">
        <f>'Sch OL-TOU Cust Fcst'!$D28*'Non-Residential TSM UC Adj'!K29</f>
        <v>0</v>
      </c>
      <c r="L29" s="23">
        <f>'Sch OL-TOU Cust Fcst'!$D28*'Non-Residential TSM UC Adj'!L29</f>
        <v>0</v>
      </c>
      <c r="M29" s="41">
        <f>IF(SUM(J29:L29)=0,0,SUM(J29:L29)/'Sch AL-TOU Cust Fcst'!D28)</f>
        <v>0</v>
      </c>
      <c r="N29" s="109">
        <f>'Sch OL-TOU Cust Fcst'!$E28*'Non-Residential TSM UC Adj'!N29</f>
        <v>0</v>
      </c>
      <c r="O29" s="23">
        <f>'Sch OL-TOU Cust Fcst'!$E28*'Non-Residential TSM UC Adj'!O29</f>
        <v>0</v>
      </c>
      <c r="P29" s="23">
        <f>'Sch OL-TOU Cust Fcst'!$E28*'Non-Residential TSM UC Adj'!P29</f>
        <v>0</v>
      </c>
      <c r="Q29" s="41">
        <f>IF(SUM(N29:P29)=0,0,SUM(N29:P29)/'Sch AL-TOU Cust Fcst'!E28)</f>
        <v>0</v>
      </c>
      <c r="R29" s="23">
        <f t="shared" si="1"/>
        <v>0</v>
      </c>
      <c r="S29" s="23">
        <f t="shared" si="2"/>
        <v>0</v>
      </c>
      <c r="T29" s="23">
        <f t="shared" si="3"/>
        <v>0</v>
      </c>
      <c r="U29" s="41">
        <f>IF(SUM(R29:T29)=0,0,SUM(R29:T29)/'Sch AL-TOU Cust Fcst'!F28)</f>
        <v>0</v>
      </c>
    </row>
    <row r="30" spans="1:21">
      <c r="A30" s="126" t="s">
        <v>22</v>
      </c>
      <c r="B30" s="109">
        <f>'Sch OL-TOU Cust Fcst'!$B29*'Non-Residential TSM UC Adj'!J30</f>
        <v>0</v>
      </c>
      <c r="C30" s="23">
        <f>'Sch OL-TOU Cust Fcst'!$B29*'Non-Residential TSM UC Adj'!K30</f>
        <v>0</v>
      </c>
      <c r="D30" s="23">
        <f>'Sch OL-TOU Cust Fcst'!$B29*'Non-Residential TSM UC Adj'!L30</f>
        <v>0</v>
      </c>
      <c r="E30" s="41">
        <f>IF(SUM(B30:D30)=0,0,SUM(B30:D30)/'Sch AL-TOU Cust Fcst'!B29)</f>
        <v>0</v>
      </c>
      <c r="F30" s="109">
        <f>'Sch OL-TOU Cust Fcst'!$C29*'Non-Residential TSM UC Adj'!J30</f>
        <v>0</v>
      </c>
      <c r="G30" s="23">
        <f>'Sch OL-TOU Cust Fcst'!$C29*'Non-Residential TSM UC Adj'!K30</f>
        <v>0</v>
      </c>
      <c r="H30" s="23">
        <f>'Sch OL-TOU Cust Fcst'!$C29*'Non-Residential TSM UC Adj'!L30</f>
        <v>0</v>
      </c>
      <c r="I30" s="41">
        <f>IF(SUM(F30:H30)=0,0,SUM(F30:H30)/'Sch AL-TOU Cust Fcst'!C29)</f>
        <v>0</v>
      </c>
      <c r="J30" s="109">
        <f>'Sch OL-TOU Cust Fcst'!$D29*'Non-Residential TSM UC Adj'!J30</f>
        <v>0</v>
      </c>
      <c r="K30" s="23">
        <f>'Sch OL-TOU Cust Fcst'!$D29*'Non-Residential TSM UC Adj'!K30</f>
        <v>0</v>
      </c>
      <c r="L30" s="23">
        <f>'Sch OL-TOU Cust Fcst'!$D29*'Non-Residential TSM UC Adj'!L30</f>
        <v>0</v>
      </c>
      <c r="M30" s="41">
        <f>IF(SUM(J30:L30)=0,0,SUM(J30:L30)/'Sch AL-TOU Cust Fcst'!D29)</f>
        <v>0</v>
      </c>
      <c r="N30" s="109">
        <f>'Sch OL-TOU Cust Fcst'!$E29*'Non-Residential TSM UC Adj'!N30</f>
        <v>0</v>
      </c>
      <c r="O30" s="23">
        <f>'Sch OL-TOU Cust Fcst'!$E29*'Non-Residential TSM UC Adj'!O30</f>
        <v>0</v>
      </c>
      <c r="P30" s="23">
        <f>'Sch OL-TOU Cust Fcst'!$E29*'Non-Residential TSM UC Adj'!P30</f>
        <v>0</v>
      </c>
      <c r="Q30" s="41">
        <f>IF(SUM(N30:P30)=0,0,SUM(N30:P30)/'Sch AL-TOU Cust Fcst'!E29)</f>
        <v>0</v>
      </c>
      <c r="R30" s="23">
        <f t="shared" si="1"/>
        <v>0</v>
      </c>
      <c r="S30" s="23">
        <f t="shared" si="2"/>
        <v>0</v>
      </c>
      <c r="T30" s="23">
        <f t="shared" si="3"/>
        <v>0</v>
      </c>
      <c r="U30" s="41">
        <f>IF(SUM(R30:T30)=0,0,SUM(R30:T30)/'Sch AL-TOU Cust Fcst'!F29)</f>
        <v>0</v>
      </c>
    </row>
    <row r="31" spans="1:21">
      <c r="A31" s="124" t="s">
        <v>23</v>
      </c>
      <c r="B31" s="109">
        <f>'Sch OL-TOU Cust Fcst'!$B30*'Non-Residential TSM UC Adj'!J31</f>
        <v>0</v>
      </c>
      <c r="C31" s="23">
        <f>'Sch OL-TOU Cust Fcst'!$B30*'Non-Residential TSM UC Adj'!K31</f>
        <v>0</v>
      </c>
      <c r="D31" s="23">
        <f>'Sch OL-TOU Cust Fcst'!$B30*'Non-Residential TSM UC Adj'!L31</f>
        <v>0</v>
      </c>
      <c r="E31" s="41">
        <f>IF(SUM(B31:D31)=0,0,SUM(B31:D31)/'Sch AL-TOU Cust Fcst'!B30)</f>
        <v>0</v>
      </c>
      <c r="F31" s="109">
        <f>'Sch OL-TOU Cust Fcst'!$C30*'Non-Residential TSM UC Adj'!J31</f>
        <v>0</v>
      </c>
      <c r="G31" s="23">
        <f>'Sch OL-TOU Cust Fcst'!$C30*'Non-Residential TSM UC Adj'!K31</f>
        <v>0</v>
      </c>
      <c r="H31" s="23">
        <f>'Sch OL-TOU Cust Fcst'!$C30*'Non-Residential TSM UC Adj'!L31</f>
        <v>0</v>
      </c>
      <c r="I31" s="41">
        <f>IF(SUM(F31:H31)=0,0,SUM(F31:H31)/'Sch AL-TOU Cust Fcst'!C30)</f>
        <v>0</v>
      </c>
      <c r="J31" s="109">
        <f>'Sch OL-TOU Cust Fcst'!$D30*'Non-Residential TSM UC Adj'!J31</f>
        <v>0</v>
      </c>
      <c r="K31" s="23">
        <f>'Sch OL-TOU Cust Fcst'!$D30*'Non-Residential TSM UC Adj'!K31</f>
        <v>0</v>
      </c>
      <c r="L31" s="23">
        <f>'Sch OL-TOU Cust Fcst'!$D30*'Non-Residential TSM UC Adj'!L31</f>
        <v>0</v>
      </c>
      <c r="M31" s="41">
        <f>IF(SUM(J31:L31)=0,0,SUM(J31:L31)/'Sch AL-TOU Cust Fcst'!D30)</f>
        <v>0</v>
      </c>
      <c r="N31" s="109">
        <f>'Sch OL-TOU Cust Fcst'!$E30*'Non-Residential TSM UC Adj'!N31</f>
        <v>0</v>
      </c>
      <c r="O31" s="23">
        <f>'Sch OL-TOU Cust Fcst'!$E30*'Non-Residential TSM UC Adj'!O31</f>
        <v>0</v>
      </c>
      <c r="P31" s="23">
        <f>'Sch OL-TOU Cust Fcst'!$E30*'Non-Residential TSM UC Adj'!P31</f>
        <v>0</v>
      </c>
      <c r="Q31" s="41">
        <f>IF(SUM(N31:P31)=0,0,SUM(N31:P31)/'Sch AL-TOU Cust Fcst'!E30)</f>
        <v>0</v>
      </c>
      <c r="R31" s="23">
        <f t="shared" si="1"/>
        <v>0</v>
      </c>
      <c r="S31" s="23">
        <f t="shared" si="2"/>
        <v>0</v>
      </c>
      <c r="T31" s="23">
        <f t="shared" si="3"/>
        <v>0</v>
      </c>
      <c r="U31" s="41">
        <f>IF(SUM(R31:T31)=0,0,SUM(R31:T31)/'Sch AL-TOU Cust Fcst'!F30)</f>
        <v>0</v>
      </c>
    </row>
    <row r="32" spans="1:21">
      <c r="A32" s="124" t="s">
        <v>24</v>
      </c>
      <c r="B32" s="109">
        <f>'Sch OL-TOU Cust Fcst'!$B31*'Non-Residential TSM UC Adj'!J32</f>
        <v>0</v>
      </c>
      <c r="C32" s="23">
        <f>'Sch OL-TOU Cust Fcst'!$B31*'Non-Residential TSM UC Adj'!K32</f>
        <v>0</v>
      </c>
      <c r="D32" s="23">
        <f>'Sch OL-TOU Cust Fcst'!$B31*'Non-Residential TSM UC Adj'!L32</f>
        <v>0</v>
      </c>
      <c r="E32" s="41">
        <f>IF(SUM(B32:D32)=0,0,SUM(B32:D32)/'Sch AL-TOU Cust Fcst'!B31)</f>
        <v>0</v>
      </c>
      <c r="F32" s="109">
        <f>'Sch OL-TOU Cust Fcst'!$C31*'Non-Residential TSM UC Adj'!J32</f>
        <v>0</v>
      </c>
      <c r="G32" s="23">
        <f>'Sch OL-TOU Cust Fcst'!$C31*'Non-Residential TSM UC Adj'!K32</f>
        <v>0</v>
      </c>
      <c r="H32" s="23">
        <f>'Sch OL-TOU Cust Fcst'!$C31*'Non-Residential TSM UC Adj'!L32</f>
        <v>0</v>
      </c>
      <c r="I32" s="41">
        <f>IF(SUM(F32:H32)=0,0,SUM(F32:H32)/'Sch AL-TOU Cust Fcst'!C31)</f>
        <v>0</v>
      </c>
      <c r="J32" s="109">
        <f>'Sch OL-TOU Cust Fcst'!$D31*'Non-Residential TSM UC Adj'!J32</f>
        <v>0</v>
      </c>
      <c r="K32" s="23">
        <f>'Sch OL-TOU Cust Fcst'!$D31*'Non-Residential TSM UC Adj'!K32</f>
        <v>0</v>
      </c>
      <c r="L32" s="23">
        <f>'Sch OL-TOU Cust Fcst'!$D31*'Non-Residential TSM UC Adj'!L32</f>
        <v>0</v>
      </c>
      <c r="M32" s="41">
        <f>IF(SUM(J32:L32)=0,0,SUM(J32:L32)/'Sch AL-TOU Cust Fcst'!D31)</f>
        <v>0</v>
      </c>
      <c r="N32" s="109">
        <f>'Sch OL-TOU Cust Fcst'!$E31*'Non-Residential TSM UC Adj'!N32</f>
        <v>0</v>
      </c>
      <c r="O32" s="23">
        <f>'Sch OL-TOU Cust Fcst'!$E31*'Non-Residential TSM UC Adj'!O32</f>
        <v>0</v>
      </c>
      <c r="P32" s="23">
        <f>'Sch OL-TOU Cust Fcst'!$E31*'Non-Residential TSM UC Adj'!P32</f>
        <v>0</v>
      </c>
      <c r="Q32" s="41">
        <f>IF(SUM(N32:P32)=0,0,SUM(N32:P32)/'Sch AL-TOU Cust Fcst'!E31)</f>
        <v>0</v>
      </c>
      <c r="R32" s="23">
        <f t="shared" si="1"/>
        <v>0</v>
      </c>
      <c r="S32" s="23">
        <f t="shared" si="2"/>
        <v>0</v>
      </c>
      <c r="T32" s="23">
        <f t="shared" si="3"/>
        <v>0</v>
      </c>
      <c r="U32" s="41">
        <f>IF(SUM(R32:T32)=0,0,SUM(R32:T32)/'Sch AL-TOU Cust Fcst'!F31)</f>
        <v>0</v>
      </c>
    </row>
    <row r="33" spans="1:21">
      <c r="A33" s="124" t="s">
        <v>25</v>
      </c>
      <c r="B33" s="109">
        <f>'Sch OL-TOU Cust Fcst'!$B32*'Non-Residential TSM UC Adj'!J33</f>
        <v>0</v>
      </c>
      <c r="C33" s="23">
        <f>'Sch OL-TOU Cust Fcst'!$B32*'Non-Residential TSM UC Adj'!K33</f>
        <v>0</v>
      </c>
      <c r="D33" s="23">
        <f>'Sch OL-TOU Cust Fcst'!$B32*'Non-Residential TSM UC Adj'!L33</f>
        <v>0</v>
      </c>
      <c r="E33" s="41">
        <f>IF(SUM(B33:D33)=0,0,SUM(B33:D33)/'Sch AL-TOU Cust Fcst'!B32)</f>
        <v>0</v>
      </c>
      <c r="F33" s="109">
        <f>'Sch OL-TOU Cust Fcst'!$C32*'Non-Residential TSM UC Adj'!J33</f>
        <v>0</v>
      </c>
      <c r="G33" s="23">
        <f>'Sch OL-TOU Cust Fcst'!$C32*'Non-Residential TSM UC Adj'!K33</f>
        <v>0</v>
      </c>
      <c r="H33" s="23">
        <f>'Sch OL-TOU Cust Fcst'!$C32*'Non-Residential TSM UC Adj'!L33</f>
        <v>0</v>
      </c>
      <c r="I33" s="41">
        <f>IF(SUM(F33:H33)=0,0,SUM(F33:H33)/'Sch AL-TOU Cust Fcst'!C32)</f>
        <v>0</v>
      </c>
      <c r="J33" s="109">
        <f>'Sch OL-TOU Cust Fcst'!$D32*'Non-Residential TSM UC Adj'!J33</f>
        <v>0</v>
      </c>
      <c r="K33" s="23">
        <f>'Sch OL-TOU Cust Fcst'!$D32*'Non-Residential TSM UC Adj'!K33</f>
        <v>0</v>
      </c>
      <c r="L33" s="23">
        <f>'Sch OL-TOU Cust Fcst'!$D32*'Non-Residential TSM UC Adj'!L33</f>
        <v>0</v>
      </c>
      <c r="M33" s="41">
        <f>IF(SUM(J33:L33)=0,0,SUM(J33:L33)/'Sch AL-TOU Cust Fcst'!D32)</f>
        <v>0</v>
      </c>
      <c r="N33" s="109">
        <f>'Sch OL-TOU Cust Fcst'!$E32*'Non-Residential TSM UC Adj'!N33</f>
        <v>0</v>
      </c>
      <c r="O33" s="23">
        <f>'Sch OL-TOU Cust Fcst'!$E32*'Non-Residential TSM UC Adj'!O33</f>
        <v>0</v>
      </c>
      <c r="P33" s="23">
        <f>'Sch OL-TOU Cust Fcst'!$E32*'Non-Residential TSM UC Adj'!P33</f>
        <v>0</v>
      </c>
      <c r="Q33" s="41">
        <f>IF(SUM(N33:P33)=0,0,SUM(N33:P33)/'Sch AL-TOU Cust Fcst'!E32)</f>
        <v>0</v>
      </c>
      <c r="R33" s="23">
        <f t="shared" si="1"/>
        <v>0</v>
      </c>
      <c r="S33" s="23">
        <f t="shared" si="2"/>
        <v>0</v>
      </c>
      <c r="T33" s="23">
        <f t="shared" si="3"/>
        <v>0</v>
      </c>
      <c r="U33" s="41">
        <f>IF(SUM(R33:T33)=0,0,SUM(R33:T33)/'Sch AL-TOU Cust Fcst'!F32)</f>
        <v>0</v>
      </c>
    </row>
    <row r="34" spans="1:21">
      <c r="A34" s="124" t="s">
        <v>111</v>
      </c>
      <c r="B34" s="109">
        <f>'Sch OL-TOU Cust Fcst'!$B33*'Non-Residential TSM UC Adj'!J34</f>
        <v>0</v>
      </c>
      <c r="C34" s="23">
        <f>'Sch OL-TOU Cust Fcst'!$B33*'Non-Residential TSM UC Adj'!K34</f>
        <v>0</v>
      </c>
      <c r="D34" s="23">
        <f>'Sch OL-TOU Cust Fcst'!$B33*'Non-Residential TSM UC Adj'!L34</f>
        <v>0</v>
      </c>
      <c r="E34" s="41">
        <f>IF(SUM(B34:D34)=0,0,SUM(B34:D34)/'Sch AL-TOU Cust Fcst'!B33)</f>
        <v>0</v>
      </c>
      <c r="F34" s="109">
        <f>'Sch OL-TOU Cust Fcst'!$C33*'Non-Residential TSM UC Adj'!J34</f>
        <v>0</v>
      </c>
      <c r="G34" s="23">
        <f>'Sch OL-TOU Cust Fcst'!$C33*'Non-Residential TSM UC Adj'!K34</f>
        <v>0</v>
      </c>
      <c r="H34" s="23">
        <f>'Sch OL-TOU Cust Fcst'!$C33*'Non-Residential TSM UC Adj'!L34</f>
        <v>0</v>
      </c>
      <c r="I34" s="41">
        <f>IF(SUM(F34:H34)=0,0,SUM(F34:H34)/'Sch AL-TOU Cust Fcst'!C33)</f>
        <v>0</v>
      </c>
      <c r="J34" s="109">
        <f>'Sch OL-TOU Cust Fcst'!$D33*'Non-Residential TSM UC Adj'!J34</f>
        <v>0</v>
      </c>
      <c r="K34" s="23">
        <f>'Sch OL-TOU Cust Fcst'!$D33*'Non-Residential TSM UC Adj'!K34</f>
        <v>0</v>
      </c>
      <c r="L34" s="23">
        <f>'Sch OL-TOU Cust Fcst'!$D33*'Non-Residential TSM UC Adj'!L34</f>
        <v>0</v>
      </c>
      <c r="M34" s="41">
        <f>IF(SUM(J34:L34)=0,0,SUM(J34:L34)/'Sch AL-TOU Cust Fcst'!D33)</f>
        <v>0</v>
      </c>
      <c r="N34" s="109">
        <f>'Sch OL-TOU Cust Fcst'!$E33*'Non-Residential TSM UC Adj'!N34</f>
        <v>0</v>
      </c>
      <c r="O34" s="23">
        <f>'Sch OL-TOU Cust Fcst'!$E33*'Non-Residential TSM UC Adj'!O34</f>
        <v>0</v>
      </c>
      <c r="P34" s="23">
        <f>'Sch OL-TOU Cust Fcst'!$E33*'Non-Residential TSM UC Adj'!P34</f>
        <v>0</v>
      </c>
      <c r="Q34" s="41">
        <f>IF(SUM(N34:P34)=0,0,SUM(N34:P34)/'Sch AL-TOU Cust Fcst'!E33)</f>
        <v>0</v>
      </c>
      <c r="R34" s="23">
        <f t="shared" si="1"/>
        <v>0</v>
      </c>
      <c r="S34" s="23">
        <f t="shared" si="2"/>
        <v>0</v>
      </c>
      <c r="T34" s="23">
        <f t="shared" si="3"/>
        <v>0</v>
      </c>
      <c r="U34" s="41">
        <f>IF(SUM(R34:T34)=0,0,SUM(R34:T34)/'Sch AL-TOU Cust Fcst'!F33)</f>
        <v>0</v>
      </c>
    </row>
    <row r="35" spans="1:21">
      <c r="A35" s="124" t="s">
        <v>112</v>
      </c>
      <c r="B35" s="109">
        <f>'Sch OL-TOU Cust Fcst'!$B34*'Non-Residential TSM UC Adj'!J35</f>
        <v>0</v>
      </c>
      <c r="C35" s="23">
        <f>'Sch OL-TOU Cust Fcst'!$B34*'Non-Residential TSM UC Adj'!K35</f>
        <v>0</v>
      </c>
      <c r="D35" s="23">
        <f>'Sch OL-TOU Cust Fcst'!$B34*'Non-Residential TSM UC Adj'!L35</f>
        <v>0</v>
      </c>
      <c r="E35" s="41">
        <f>IF(SUM(B35:D35)=0,0,SUM(B35:D35)/'Sch AL-TOU Cust Fcst'!B34)</f>
        <v>0</v>
      </c>
      <c r="F35" s="109">
        <f>'Sch OL-TOU Cust Fcst'!$C34*'Non-Residential TSM UC Adj'!J35</f>
        <v>0</v>
      </c>
      <c r="G35" s="23">
        <f>'Sch OL-TOU Cust Fcst'!$C34*'Non-Residential TSM UC Adj'!K35</f>
        <v>0</v>
      </c>
      <c r="H35" s="23">
        <f>'Sch OL-TOU Cust Fcst'!$C34*'Non-Residential TSM UC Adj'!L35</f>
        <v>0</v>
      </c>
      <c r="I35" s="41">
        <f>IF(SUM(F35:H35)=0,0,SUM(F35:H35)/'Sch AL-TOU Cust Fcst'!C34)</f>
        <v>0</v>
      </c>
      <c r="J35" s="109">
        <f>'Sch OL-TOU Cust Fcst'!$D34*'Non-Residential TSM UC Adj'!J35</f>
        <v>0</v>
      </c>
      <c r="K35" s="23">
        <f>'Sch OL-TOU Cust Fcst'!$D34*'Non-Residential TSM UC Adj'!K35</f>
        <v>0</v>
      </c>
      <c r="L35" s="23">
        <f>'Sch OL-TOU Cust Fcst'!$D34*'Non-Residential TSM UC Adj'!L35</f>
        <v>0</v>
      </c>
      <c r="M35" s="41">
        <f>IF(SUM(J35:L35)=0,0,SUM(J35:L35)/'Sch AL-TOU Cust Fcst'!D34)</f>
        <v>0</v>
      </c>
      <c r="N35" s="109">
        <f>'Sch OL-TOU Cust Fcst'!$E34*'Non-Residential TSM UC Adj'!N35</f>
        <v>0</v>
      </c>
      <c r="O35" s="23">
        <f>'Sch OL-TOU Cust Fcst'!$E34*'Non-Residential TSM UC Adj'!O35</f>
        <v>0</v>
      </c>
      <c r="P35" s="23">
        <f>'Sch OL-TOU Cust Fcst'!$E34*'Non-Residential TSM UC Adj'!P35</f>
        <v>0</v>
      </c>
      <c r="Q35" s="41">
        <f>IF(SUM(N35:P35)=0,0,SUM(N35:P35)/'Sch AL-TOU Cust Fcst'!E34)</f>
        <v>0</v>
      </c>
      <c r="R35" s="23">
        <f t="shared" si="1"/>
        <v>0</v>
      </c>
      <c r="S35" s="23">
        <f t="shared" si="2"/>
        <v>0</v>
      </c>
      <c r="T35" s="23">
        <f t="shared" si="3"/>
        <v>0</v>
      </c>
      <c r="U35" s="41">
        <f>IF(SUM(R35:T35)=0,0,SUM(R35:T35)/'Sch AL-TOU Cust Fcst'!F34)</f>
        <v>0</v>
      </c>
    </row>
    <row r="36" spans="1:21">
      <c r="A36" s="126" t="s">
        <v>26</v>
      </c>
      <c r="B36" s="109">
        <f>'Sch OL-TOU Cust Fcst'!$B35*'Non-Residential TSM UC Adj'!J36</f>
        <v>0</v>
      </c>
      <c r="C36" s="23">
        <f>'Sch OL-TOU Cust Fcst'!$B35*'Non-Residential TSM UC Adj'!K36</f>
        <v>0</v>
      </c>
      <c r="D36" s="23">
        <f>'Sch OL-TOU Cust Fcst'!$B35*'Non-Residential TSM UC Adj'!L36</f>
        <v>0</v>
      </c>
      <c r="E36" s="41">
        <f>IF(SUM(B36:D36)=0,0,SUM(B36:D36)/'Sch AL-TOU Cust Fcst'!B35)</f>
        <v>0</v>
      </c>
      <c r="F36" s="109">
        <f>'Sch OL-TOU Cust Fcst'!$C35*'Non-Residential TSM UC Adj'!J36</f>
        <v>0</v>
      </c>
      <c r="G36" s="23">
        <f>'Sch OL-TOU Cust Fcst'!$C35*'Non-Residential TSM UC Adj'!K36</f>
        <v>0</v>
      </c>
      <c r="H36" s="23">
        <f>'Sch OL-TOU Cust Fcst'!$C35*'Non-Residential TSM UC Adj'!L36</f>
        <v>0</v>
      </c>
      <c r="I36" s="41">
        <f>IF(SUM(F36:H36)=0,0,SUM(F36:H36)/'Sch AL-TOU Cust Fcst'!C35)</f>
        <v>0</v>
      </c>
      <c r="J36" s="109">
        <f>'Sch OL-TOU Cust Fcst'!$D35*'Non-Residential TSM UC Adj'!J36</f>
        <v>0</v>
      </c>
      <c r="K36" s="23">
        <f>'Sch OL-TOU Cust Fcst'!$D35*'Non-Residential TSM UC Adj'!K36</f>
        <v>0</v>
      </c>
      <c r="L36" s="23">
        <f>'Sch OL-TOU Cust Fcst'!$D35*'Non-Residential TSM UC Adj'!L36</f>
        <v>0</v>
      </c>
      <c r="M36" s="41">
        <f>IF(SUM(J36:L36)=0,0,SUM(J36:L36)/'Sch AL-TOU Cust Fcst'!D35)</f>
        <v>0</v>
      </c>
      <c r="N36" s="109">
        <f>'Sch OL-TOU Cust Fcst'!$E35*'Non-Residential TSM UC Adj'!N36</f>
        <v>0</v>
      </c>
      <c r="O36" s="23">
        <f>'Sch OL-TOU Cust Fcst'!$E35*'Non-Residential TSM UC Adj'!O36</f>
        <v>0</v>
      </c>
      <c r="P36" s="23">
        <f>'Sch OL-TOU Cust Fcst'!$E35*'Non-Residential TSM UC Adj'!P36</f>
        <v>0</v>
      </c>
      <c r="Q36" s="41">
        <f>IF(SUM(N36:P36)=0,0,SUM(N36:P36)/'Sch AL-TOU Cust Fcst'!E35)</f>
        <v>0</v>
      </c>
      <c r="R36" s="23">
        <f t="shared" si="1"/>
        <v>0</v>
      </c>
      <c r="S36" s="23">
        <f t="shared" si="2"/>
        <v>0</v>
      </c>
      <c r="T36" s="23">
        <f t="shared" si="3"/>
        <v>0</v>
      </c>
      <c r="U36" s="41">
        <f>IF(SUM(R36:T36)=0,0,SUM(R36:T36)/'Sch AL-TOU Cust Fcst'!F35)</f>
        <v>0</v>
      </c>
    </row>
    <row r="37" spans="1:21">
      <c r="A37" s="126" t="s">
        <v>27</v>
      </c>
      <c r="B37" s="109">
        <f>'Sch OL-TOU Cust Fcst'!$B36*'Non-Residential TSM UC Adj'!J37</f>
        <v>0</v>
      </c>
      <c r="C37" s="23">
        <f>'Sch OL-TOU Cust Fcst'!$B36*'Non-Residential TSM UC Adj'!K37</f>
        <v>0</v>
      </c>
      <c r="D37" s="23">
        <f>'Sch OL-TOU Cust Fcst'!$B36*'Non-Residential TSM UC Adj'!L37</f>
        <v>0</v>
      </c>
      <c r="E37" s="41">
        <f>IF(SUM(B37:D37)=0,0,SUM(B37:D37)/'Sch AL-TOU Cust Fcst'!B36)</f>
        <v>0</v>
      </c>
      <c r="F37" s="109">
        <f>'Sch OL-TOU Cust Fcst'!$C36*'Non-Residential TSM UC Adj'!J37</f>
        <v>0</v>
      </c>
      <c r="G37" s="23">
        <f>'Sch OL-TOU Cust Fcst'!$C36*'Non-Residential TSM UC Adj'!K37</f>
        <v>0</v>
      </c>
      <c r="H37" s="23">
        <f>'Sch OL-TOU Cust Fcst'!$C36*'Non-Residential TSM UC Adj'!L37</f>
        <v>0</v>
      </c>
      <c r="I37" s="41">
        <f>IF(SUM(F37:H37)=0,0,SUM(F37:H37)/'Sch AL-TOU Cust Fcst'!C36)</f>
        <v>0</v>
      </c>
      <c r="J37" s="109">
        <f>'Sch OL-TOU Cust Fcst'!$D36*'Non-Residential TSM UC Adj'!J37</f>
        <v>0</v>
      </c>
      <c r="K37" s="23">
        <f>'Sch OL-TOU Cust Fcst'!$D36*'Non-Residential TSM UC Adj'!K37</f>
        <v>0</v>
      </c>
      <c r="L37" s="23">
        <f>'Sch OL-TOU Cust Fcst'!$D36*'Non-Residential TSM UC Adj'!L37</f>
        <v>0</v>
      </c>
      <c r="M37" s="41">
        <f>IF(SUM(J37:L37)=0,0,SUM(J37:L37)/'Sch AL-TOU Cust Fcst'!D36)</f>
        <v>0</v>
      </c>
      <c r="N37" s="109">
        <f>'Sch OL-TOU Cust Fcst'!$E36*'Non-Residential TSM UC Adj'!N37</f>
        <v>0</v>
      </c>
      <c r="O37" s="23">
        <f>'Sch OL-TOU Cust Fcst'!$E36*'Non-Residential TSM UC Adj'!O37</f>
        <v>0</v>
      </c>
      <c r="P37" s="23">
        <f>'Sch OL-TOU Cust Fcst'!$E36*'Non-Residential TSM UC Adj'!P37</f>
        <v>0</v>
      </c>
      <c r="Q37" s="41">
        <f>IF(SUM(N37:P37)=0,0,SUM(N37:P37)/'Sch AL-TOU Cust Fcst'!E36)</f>
        <v>0</v>
      </c>
      <c r="R37" s="23">
        <f t="shared" si="1"/>
        <v>0</v>
      </c>
      <c r="S37" s="23">
        <f t="shared" si="2"/>
        <v>0</v>
      </c>
      <c r="T37" s="23">
        <f t="shared" si="3"/>
        <v>0</v>
      </c>
      <c r="U37" s="41">
        <f>IF(SUM(R37:T37)=0,0,SUM(R37:T37)/'Sch AL-TOU Cust Fcst'!F36)</f>
        <v>0</v>
      </c>
    </row>
    <row r="38" spans="1:21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23"/>
      <c r="S38" s="23"/>
      <c r="T38" s="23"/>
      <c r="U38" s="14"/>
    </row>
    <row r="39" spans="1:21" ht="13.5" thickBot="1">
      <c r="A39" s="181" t="s">
        <v>2</v>
      </c>
      <c r="B39" s="241">
        <f>IF(SUM(B$7:B$37)=0,0,SUM(B$7:B$37)/'Sch OL-TOU Cust Fcst'!$B38)</f>
        <v>0</v>
      </c>
      <c r="C39" s="242">
        <f>IF(SUM(C$7:C$37)=0,0,SUM(C$7:C$37)/'Sch OL-TOU Cust Fcst'!$B38)</f>
        <v>0</v>
      </c>
      <c r="D39" s="242">
        <f>IF(SUM(D$7:D$37)=0,0,SUM(D$7:D$37)/'Sch OL-TOU Cust Fcst'!$B38)</f>
        <v>0</v>
      </c>
      <c r="E39" s="243">
        <f>SUM(B39:D39)</f>
        <v>0</v>
      </c>
      <c r="F39" s="241">
        <f>IF(SUM(F$7:F$37)=0,0,SUM(F$7:F$37)/'Sch OL-TOU Cust Fcst'!$C38)</f>
        <v>0</v>
      </c>
      <c r="G39" s="242">
        <f>IF(SUM(G$7:G$37)=0,0,SUM(G$7:G$37)/'Sch OL-TOU Cust Fcst'!$C38)</f>
        <v>0</v>
      </c>
      <c r="H39" s="242">
        <f>IF(SUM(H$7:H$37)=0,0,SUM(H$7:H$37)/'Sch OL-TOU Cust Fcst'!$C38)</f>
        <v>0</v>
      </c>
      <c r="I39" s="243">
        <f>SUM(F39:H39)</f>
        <v>0</v>
      </c>
      <c r="J39" s="241">
        <f>IF(SUM(J$7:J$37)=0,0,SUM(J$7:J$37)/'Sch OL-TOU Cust Fcst'!$D38)</f>
        <v>0</v>
      </c>
      <c r="K39" s="242">
        <f>IF(SUM(K$7:K$37)=0,0,SUM(K$7:K$37)/'Sch OL-TOU Cust Fcst'!$D38)</f>
        <v>0</v>
      </c>
      <c r="L39" s="242">
        <f>IF(SUM(L$7:L$37)=0,0,SUM(L$7:L$37)/'Sch OL-TOU Cust Fcst'!$D38)</f>
        <v>0</v>
      </c>
      <c r="M39" s="243">
        <f>SUM(J39:L39)</f>
        <v>0</v>
      </c>
      <c r="N39" s="241">
        <f>IF(SUM(N$7:N$37)=0,0,SUM(N$7:N$37)/'Sch OL-TOU Cust Fcst'!$E38)</f>
        <v>17510.38454743156</v>
      </c>
      <c r="O39" s="242">
        <f>IF(SUM(O$7:O$37)=0,0,SUM(O$7:O$37)/'Sch OL-TOU Cust Fcst'!$E38)</f>
        <v>1440.5499348403266</v>
      </c>
      <c r="P39" s="242">
        <f>IF(SUM(P$7:P$37)=0,0,SUM(P$7:P$37)/'Sch OL-TOU Cust Fcst'!$E38)</f>
        <v>855.2930770275243</v>
      </c>
      <c r="Q39" s="243">
        <f>SUM(N39:P39)</f>
        <v>19806.227559299412</v>
      </c>
      <c r="R39" s="241">
        <f>IF(SUM(R$7:R$37)=0,0,SUM(R$7:R$37)/'Sch OL-TOU Cust Fcst'!$F38)</f>
        <v>17510.38454743156</v>
      </c>
      <c r="S39" s="242">
        <f>IF(SUM(S$7:S$37)=0,0,SUM(S$7:S$37)/'Sch OL-TOU Cust Fcst'!$F38)</f>
        <v>1440.5499348403266</v>
      </c>
      <c r="T39" s="242">
        <f>IF(SUM(T$7:T$37)=0,0,SUM(T$7:T$37)/'Sch OL-TOU Cust Fcst'!$F38)</f>
        <v>855.2930770275243</v>
      </c>
      <c r="U39" s="243">
        <f>SUM(R39:T39)</f>
        <v>19806.227559299412</v>
      </c>
    </row>
    <row r="40" spans="1:21">
      <c r="A40" s="124" t="s">
        <v>149</v>
      </c>
      <c r="B40" s="109">
        <f>IF(SUM(B$7:B$20)=0,0,SUM(B$7:B$20)/'Sch OL-TOU Cust Fcst'!$B39)</f>
        <v>0</v>
      </c>
      <c r="C40" s="23">
        <f>IF(SUM(C$7:C$20)=0,0,SUM(C$7:C$20)/'Sch OL-TOU Cust Fcst'!$B39)</f>
        <v>0</v>
      </c>
      <c r="D40" s="23">
        <f>IF(SUM(D$7:D$20)=0,0,SUM(D$7:D$20)/'Sch OL-TOU Cust Fcst'!$B39)</f>
        <v>0</v>
      </c>
      <c r="E40" s="41">
        <f>SUM(B40:D40)</f>
        <v>0</v>
      </c>
      <c r="F40" s="109">
        <f>IF(SUM(F$7:F$20)=0,0,SUM(F$7:F$20)/'Sch OL-TOU Cust Fcst'!$C39)</f>
        <v>0</v>
      </c>
      <c r="G40" s="23">
        <f>IF(SUM(G$7:G$20)=0,0,SUM(G$7:G$20)/'Sch OL-TOU Cust Fcst'!$C39)</f>
        <v>0</v>
      </c>
      <c r="H40" s="23">
        <f>IF(SUM(H$7:H$20)=0,0,SUM(H$7:H$20)/'Sch OL-TOU Cust Fcst'!$C39)</f>
        <v>0</v>
      </c>
      <c r="I40" s="41">
        <f>SUM(F40:H40)</f>
        <v>0</v>
      </c>
      <c r="J40" s="109">
        <f>IF(SUM(J$7:J$20)=0,0,SUM(J$7:J$20)/'Sch OL-TOU Cust Fcst'!$D39)</f>
        <v>0</v>
      </c>
      <c r="K40" s="23">
        <f>IF(SUM(K$7:K$20)=0,0,SUM(K$7:K$20)/'Sch OL-TOU Cust Fcst'!$D39)</f>
        <v>0</v>
      </c>
      <c r="L40" s="23">
        <f>IF(SUM(L$7:L$20)=0,0,SUM(L$7:L$20)/'Sch OL-TOU Cust Fcst'!$D39)</f>
        <v>0</v>
      </c>
      <c r="M40" s="41">
        <f>SUM(J40:L40)</f>
        <v>0</v>
      </c>
      <c r="N40" s="109">
        <f>IF(SUM(N$7:N$20)=0,0,SUM(N$7:N$20)/'Sch OL-TOU Cust Fcst'!$E39)</f>
        <v>17510.38454743156</v>
      </c>
      <c r="O40" s="23">
        <f>IF(SUM(O$7:O$20)=0,0,SUM(O$7:O$20)/'Sch OL-TOU Cust Fcst'!$E39)</f>
        <v>1440.5499348403266</v>
      </c>
      <c r="P40" s="23">
        <f>IF(SUM(P$7:P$20)=0,0,SUM(P$7:P$20)/'Sch OL-TOU Cust Fcst'!$E39)</f>
        <v>855.2930770275243</v>
      </c>
      <c r="Q40" s="41">
        <f>SUM(N40:P40)</f>
        <v>19806.227559299412</v>
      </c>
      <c r="R40" s="109">
        <f>IF(SUM(R$7:R$20)=0,0,SUM(R$7:R$20)/'Sch OL-TOU Cust Fcst'!$F39)</f>
        <v>17510.38454743156</v>
      </c>
      <c r="S40" s="23">
        <f>IF(SUM(S$7:S$20)=0,0,SUM(S$7:S$20)/'Sch OL-TOU Cust Fcst'!$F39)</f>
        <v>1440.5499348403266</v>
      </c>
      <c r="T40" s="23">
        <f>IF(SUM(T$7:T$20)=0,0,SUM(T$7:T$20)/'Sch OL-TOU Cust Fcst'!$F39)</f>
        <v>855.2930770275243</v>
      </c>
      <c r="U40" s="41">
        <f>SUM(R40:T40)</f>
        <v>19806.227559299412</v>
      </c>
    </row>
    <row r="41" spans="1:21">
      <c r="A41" s="124" t="s">
        <v>124</v>
      </c>
      <c r="B41" s="109">
        <f>IF(SUM(B$21:B$34)=0,0,SUM(B$21:B$33)/'Sch OL-TOU Cust Fcst'!$B40)</f>
        <v>0</v>
      </c>
      <c r="C41" s="23">
        <f>IF(SUM(C$21:C$34)=0,0,SUM(C$21:C$33)/'Sch OL-TOU Cust Fcst'!$B40)</f>
        <v>0</v>
      </c>
      <c r="D41" s="23">
        <f>IF(SUM(D$21:D$34)=0,0,SUM(D$21:D$33)/'Sch OL-TOU Cust Fcst'!$B40)</f>
        <v>0</v>
      </c>
      <c r="E41" s="41">
        <f>SUM(B41:D41)</f>
        <v>0</v>
      </c>
      <c r="F41" s="109">
        <f>IF(SUM(F$21:F$34)=0,0,SUM(F$21:F$33)/'Sch OL-TOU Cust Fcst'!$C40)</f>
        <v>0</v>
      </c>
      <c r="G41" s="23">
        <f>IF(SUM(G$21:G$34)=0,0,SUM(G$21:G$33)/'Sch OL-TOU Cust Fcst'!$C40)</f>
        <v>0</v>
      </c>
      <c r="H41" s="23">
        <f>IF(SUM(H$21:H$34)=0,0,SUM(H$21:H$33)/'Sch OL-TOU Cust Fcst'!$C40)</f>
        <v>0</v>
      </c>
      <c r="I41" s="41">
        <f>SUM(F41:H41)</f>
        <v>0</v>
      </c>
      <c r="J41" s="109">
        <f>IF(SUM(J$21:J$34)=0,0,SUM(J$21:J$33)/'Sch OL-TOU Cust Fcst'!$D40)</f>
        <v>0</v>
      </c>
      <c r="K41" s="23">
        <f>IF(SUM(K$21:K$34)=0,0,SUM(K$21:K$33)/'Sch OL-TOU Cust Fcst'!$D40)</f>
        <v>0</v>
      </c>
      <c r="L41" s="23">
        <f>IF(SUM(L$21:L$34)=0,0,SUM(L$21:L$33)/'Sch OL-TOU Cust Fcst'!$D40)</f>
        <v>0</v>
      </c>
      <c r="M41" s="41">
        <f>SUM(J41:L41)</f>
        <v>0</v>
      </c>
      <c r="N41" s="109">
        <f>IF(SUM(N$21:N$34)=0,0,SUM(N$21:N$33)/'Sch OL-TOU Cust Fcst'!$E40)</f>
        <v>0</v>
      </c>
      <c r="O41" s="23">
        <f>IF(SUM(O$21:O$34)=0,0,SUM(O$21:O$33)/'Sch OL-TOU Cust Fcst'!$E40)</f>
        <v>0</v>
      </c>
      <c r="P41" s="23">
        <f>IF(SUM(P$21:P$34)=0,0,SUM(P$21:P$33)/'Sch OL-TOU Cust Fcst'!$E40)</f>
        <v>0</v>
      </c>
      <c r="Q41" s="41">
        <f>SUM(N41:P41)</f>
        <v>0</v>
      </c>
      <c r="R41" s="109">
        <f>IF(SUM(R$21:R$34)=0,0,SUM(R$21:R$33)/'Sch OL-TOU Cust Fcst'!$F40)</f>
        <v>0</v>
      </c>
      <c r="S41" s="23">
        <f>IF(SUM(S$21:S$34)=0,0,SUM(S$21:S$33)/'Sch OL-TOU Cust Fcst'!$F40)</f>
        <v>0</v>
      </c>
      <c r="T41" s="23">
        <f>IF(SUM(T$21:T$34)=0,0,SUM(T$21:T$33)/'Sch OL-TOU Cust Fcst'!$F40)</f>
        <v>0</v>
      </c>
      <c r="U41" s="41">
        <f>SUM(R41:T41)</f>
        <v>0</v>
      </c>
    </row>
    <row r="42" spans="1:21" ht="13.5" thickBot="1">
      <c r="A42" s="179" t="s">
        <v>88</v>
      </c>
      <c r="B42" s="180">
        <f>IF(SUM(B$35:B$37)=0,0,SUM(B$35:B$37)/'Sch OL-TOU Cust Fcst'!$B41)</f>
        <v>0</v>
      </c>
      <c r="C42" s="176">
        <f>IF(SUM(C$35:C$37)=0,0,SUM(C$35:C$37)/'Sch OL-TOU Cust Fcst'!$B41)</f>
        <v>0</v>
      </c>
      <c r="D42" s="176">
        <f>IF(SUM(D$35:D$37)=0,0,SUM(D$35:D$37)/'Sch OL-TOU Cust Fcst'!$B41)</f>
        <v>0</v>
      </c>
      <c r="E42" s="185">
        <f>SUM(B42:D42)</f>
        <v>0</v>
      </c>
      <c r="F42" s="180">
        <f>IF(SUM(F$35:F$37)=0,0,SUM(F$35:F$37)/'Sch OL-TOU Cust Fcst'!$C41)</f>
        <v>0</v>
      </c>
      <c r="G42" s="176">
        <f>IF(SUM(G$35:G$37)=0,0,SUM(G$35:G$37)/'Sch OL-TOU Cust Fcst'!$C41)</f>
        <v>0</v>
      </c>
      <c r="H42" s="176">
        <f>IF(SUM(H$35:H$37)=0,0,SUM(H$35:H$37)/'Sch OL-TOU Cust Fcst'!$C41)</f>
        <v>0</v>
      </c>
      <c r="I42" s="185">
        <f>SUM(F42:H42)</f>
        <v>0</v>
      </c>
      <c r="J42" s="180">
        <f>IF(SUM(J$35:J$37)=0,0,SUM(J$35:J$37)/'Sch OL-TOU Cust Fcst'!$D41)</f>
        <v>0</v>
      </c>
      <c r="K42" s="176">
        <f>IF(SUM(K$35:K$37)=0,0,SUM(K$35:K$37)/'Sch OL-TOU Cust Fcst'!$D41)</f>
        <v>0</v>
      </c>
      <c r="L42" s="176">
        <f>IF(SUM(L$35:L$37)=0,0,SUM(L$35:L$37)/'Sch OL-TOU Cust Fcst'!$D41)</f>
        <v>0</v>
      </c>
      <c r="M42" s="185">
        <f>SUM(J42:L42)</f>
        <v>0</v>
      </c>
      <c r="N42" s="180">
        <f>IF(SUM(N$35:N$37)=0,0,SUM(N$35:N$37)/'Sch OL-TOU Cust Fcst'!$E41)</f>
        <v>0</v>
      </c>
      <c r="O42" s="176">
        <f>IF(SUM(O$35:O$37)=0,0,SUM(O$35:O$37)/'Sch OL-TOU Cust Fcst'!$E41)</f>
        <v>0</v>
      </c>
      <c r="P42" s="176">
        <f>IF(SUM(P$35:P$37)=0,0,SUM(P$35:P$37)/'Sch OL-TOU Cust Fcst'!$E41)</f>
        <v>0</v>
      </c>
      <c r="Q42" s="185">
        <f>SUM(N42:P42)</f>
        <v>0</v>
      </c>
      <c r="R42" s="180">
        <f>IF(SUM(R$35:R$37)=0,0,SUM(R$35:R$37)/'Sch OL-TOU Cust Fcst'!$F41)</f>
        <v>0</v>
      </c>
      <c r="S42" s="176">
        <f>IF(SUM(S$35:S$37)=0,0,SUM(S$35:S$37)/'Sch OL-TOU Cust Fcst'!$F41)</f>
        <v>0</v>
      </c>
      <c r="T42" s="176">
        <f>IF(SUM(T$35:T$37)=0,0,SUM(T$35:T$37)/'Sch OL-TOU Cust Fcst'!$F41)</f>
        <v>0</v>
      </c>
      <c r="U42" s="185">
        <f>SUM(R42:T42)</f>
        <v>0</v>
      </c>
    </row>
    <row r="44" spans="1:21">
      <c r="A44" s="264" t="s">
        <v>91</v>
      </c>
      <c r="E44" s="298">
        <f>IF(SUM(B7:D37)=0,0,SUM(B7:D37)/'Sch OL-TOU Cust Fcst'!B38)-E39</f>
        <v>0</v>
      </c>
      <c r="I44" s="298">
        <f>IF(SUM(F7:H37)=0,0,SUM(F7:H37)/'Sch OL-TOU Cust Fcst'!C38)-I39</f>
        <v>0</v>
      </c>
      <c r="M44" s="298">
        <f>IF(SUM(J7:L37)=0,0,SUM(J7:L37)/'Sch OL-TOU Cust Fcst'!D38)-M39</f>
        <v>0</v>
      </c>
      <c r="Q44" s="298">
        <f>IF(SUM(N7:P37)=0,0,SUM(N7:P37)/'Sch OL-TOU Cust Fcst'!E38)-Q39</f>
        <v>0</v>
      </c>
      <c r="U44" s="298">
        <f>IF(SUM(R7:T37)=0,0,SUM(R7:T37)/'Sch OL-TOU Cust Fcst'!F38)-U39</f>
        <v>0</v>
      </c>
    </row>
    <row r="45" spans="1:21">
      <c r="E45" s="298">
        <f>IF(SUM(B7:D20)=0,0,SUM(B7:D20)/'Sch OL-TOU Cust Fcst'!B39)-E40</f>
        <v>0</v>
      </c>
      <c r="I45" s="298">
        <f>IF(SUM(F7:H20)=0,0,SUM(F7:H20)/'Sch OL-TOU Cust Fcst'!C39)-I40</f>
        <v>0</v>
      </c>
      <c r="M45" s="298">
        <f>IF(SUM(J7:L20)=0,0,SUM(J7:L20)/'Sch OL-TOU Cust Fcst'!D39)-M40</f>
        <v>0</v>
      </c>
      <c r="Q45" s="298">
        <f>IF(SUM(N7:P20)=0,0,SUM(N7:P20)/'Sch OL-TOU Cust Fcst'!E39)-Q40</f>
        <v>0</v>
      </c>
      <c r="U45" s="298">
        <f>IF(SUM(R7:T20)=0,0,SUM(R7:T20)/'Sch OL-TOU Cust Fcst'!F39)-U40</f>
        <v>0</v>
      </c>
    </row>
    <row r="46" spans="1:21">
      <c r="E46" s="298">
        <f>IF(SUM(B21:D34)=0,0,SUM(B21:D34)/'Sch OL-TOU Cust Fcst'!B40)-E41</f>
        <v>0</v>
      </c>
      <c r="I46" s="298">
        <f>IF(SUM(F21:H34)=0,0,SUM(F21:H34)/'Sch OL-TOU Cust Fcst'!C40)-I41</f>
        <v>0</v>
      </c>
      <c r="M46" s="298">
        <f>IF(SUM(J21:L34)=0,0,SUM(J21:L34)/'Sch OL-TOU Cust Fcst'!D40)-M41</f>
        <v>0</v>
      </c>
      <c r="Q46" s="298">
        <f>IF(SUM(N21:P34)=0,0,SUM(N21:P34)/'Sch OL-TOU Cust Fcst'!E40)-Q41</f>
        <v>0</v>
      </c>
      <c r="U46" s="298">
        <f>IF(SUM(R21:T34)=0,0,SUM(R21:T34)/'Sch OL-TOU Cust Fcst'!F40)-U41</f>
        <v>0</v>
      </c>
    </row>
    <row r="47" spans="1:21">
      <c r="E47" s="298">
        <f>IF(SUM(B35:D35)=0,0,SUM(B35:D35)/'Sch OL-TOU Cust Fcst'!B41)-E42</f>
        <v>0</v>
      </c>
      <c r="I47" s="298">
        <f>IF(SUM(F35:H35)=0,0,SUM(F35:H35)/'Sch OL-TOU Cust Fcst'!C41)-I42</f>
        <v>0</v>
      </c>
      <c r="M47" s="298">
        <f>IF(SUM(J35:L35)=0,0,SUM(J35:L35)/'Sch OL-TOU Cust Fcst'!D41)-M42</f>
        <v>0</v>
      </c>
      <c r="Q47" s="298">
        <f>IF(SUM(N35:P35)=0,0,SUM(N35:P35)/'Sch OL-TOU Cust Fcst'!E41)-Q42</f>
        <v>0</v>
      </c>
      <c r="U47" s="298">
        <f>IF(SUM(R35:T35)=0,0,SUM(R35:T35)/'Sch OL-TOU Cust Fcst'!F41)-U42</f>
        <v>0</v>
      </c>
    </row>
    <row r="54" spans="1:1">
      <c r="A54" s="19"/>
    </row>
  </sheetData>
  <mergeCells count="8">
    <mergeCell ref="R3:U3"/>
    <mergeCell ref="A1:Q1"/>
    <mergeCell ref="B2:Q2"/>
    <mergeCell ref="R2:U2"/>
    <mergeCell ref="B3:E3"/>
    <mergeCell ref="F3:I3"/>
    <mergeCell ref="J3:M3"/>
    <mergeCell ref="N3:Q3"/>
  </mergeCells>
  <printOptions horizontalCentered="1"/>
  <pageMargins left="0.75" right="0.75" top="1" bottom="1" header="0.5" footer="0.5"/>
  <pageSetup scale="54" orientation="portrait" r:id="rId1"/>
  <headerFooter alignWithMargins="0">
    <oddFooter>&amp;L&amp;F
&amp;A&amp;R&amp;P of &amp;N</oddFooter>
  </headerFooter>
  <colBreaks count="1" manualBreakCount="1">
    <brk id="13" max="41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37">
    <tabColor rgb="FFFFC000"/>
    <pageSetUpPr fitToPage="1"/>
  </sheetPr>
  <dimension ref="A1:E56"/>
  <sheetViews>
    <sheetView topLeftCell="A20" zoomScaleNormal="100" workbookViewId="0">
      <selection activeCell="B29" sqref="B29"/>
    </sheetView>
  </sheetViews>
  <sheetFormatPr defaultRowHeight="12.75"/>
  <cols>
    <col min="1" max="1" width="40.7109375" customWidth="1"/>
    <col min="2" max="2" width="10.28515625" style="12" bestFit="1" customWidth="1"/>
    <col min="3" max="3" width="17" style="12" bestFit="1" customWidth="1"/>
    <col min="4" max="4" width="10.28515625" style="12" customWidth="1"/>
    <col min="5" max="5" width="10.28515625" style="12" bestFit="1" customWidth="1"/>
  </cols>
  <sheetData>
    <row r="1" spans="1:5" ht="18.75" thickBot="1">
      <c r="A1" s="741" t="s">
        <v>159</v>
      </c>
      <c r="B1" s="741"/>
      <c r="C1" s="741"/>
      <c r="D1" s="741"/>
      <c r="E1" s="741"/>
    </row>
    <row r="2" spans="1:5" ht="13.5" thickBot="1">
      <c r="A2" s="103"/>
      <c r="B2" s="742" t="s">
        <v>205</v>
      </c>
      <c r="C2" s="743"/>
      <c r="D2" s="743"/>
      <c r="E2" s="744"/>
    </row>
    <row r="3" spans="1:5" ht="13.5" thickBot="1">
      <c r="A3" s="77" t="s">
        <v>47</v>
      </c>
      <c r="B3" s="302" t="s">
        <v>152</v>
      </c>
      <c r="C3" s="303" t="s">
        <v>124</v>
      </c>
      <c r="D3" s="303" t="s">
        <v>88</v>
      </c>
      <c r="E3" s="451" t="s">
        <v>135</v>
      </c>
    </row>
    <row r="4" spans="1:5">
      <c r="A4" s="380"/>
      <c r="B4" s="5"/>
      <c r="C4" s="6"/>
      <c r="D4" s="6"/>
      <c r="E4" s="7"/>
    </row>
    <row r="5" spans="1:5">
      <c r="A5" s="117"/>
      <c r="B5" s="104"/>
      <c r="C5" s="8"/>
      <c r="D5" s="8"/>
      <c r="E5" s="9"/>
    </row>
    <row r="6" spans="1:5">
      <c r="A6" s="117" t="s">
        <v>49</v>
      </c>
      <c r="B6" s="114"/>
      <c r="C6" s="30"/>
      <c r="D6" s="30"/>
      <c r="E6" s="40"/>
    </row>
    <row r="7" spans="1:5">
      <c r="A7" s="381"/>
      <c r="B7" s="114"/>
      <c r="C7" s="30"/>
      <c r="D7" s="30"/>
      <c r="E7" s="40"/>
    </row>
    <row r="8" spans="1:5">
      <c r="A8" s="117" t="s">
        <v>53</v>
      </c>
      <c r="B8" s="115">
        <f>'Sch OL-TOU TSM'!R40</f>
        <v>17510.38454743156</v>
      </c>
      <c r="C8" s="134"/>
      <c r="D8" s="134"/>
      <c r="E8" s="44">
        <f>'Sch OL-TOU TSM'!R39</f>
        <v>17510.38454743156</v>
      </c>
    </row>
    <row r="9" spans="1:5">
      <c r="A9" s="117" t="s">
        <v>51</v>
      </c>
      <c r="B9" s="114">
        <f>'Sch OL-TOU TSM'!S40</f>
        <v>1440.5499348403266</v>
      </c>
      <c r="C9" s="30"/>
      <c r="D9" s="30"/>
      <c r="E9" s="40">
        <f>'Sch OL-TOU TSM'!S39</f>
        <v>1440.5499348403266</v>
      </c>
    </row>
    <row r="10" spans="1:5">
      <c r="A10" s="117" t="s">
        <v>52</v>
      </c>
      <c r="B10" s="114">
        <f>'Sch OL-TOU TSM'!T40</f>
        <v>855.2930770275243</v>
      </c>
      <c r="C10" s="30"/>
      <c r="D10" s="30"/>
      <c r="E10" s="40">
        <f>'Sch OL-TOU TSM'!T39</f>
        <v>855.2930770275243</v>
      </c>
    </row>
    <row r="11" spans="1:5">
      <c r="A11" s="382"/>
      <c r="B11" s="114"/>
      <c r="C11" s="30"/>
      <c r="D11" s="30"/>
      <c r="E11" s="40"/>
    </row>
    <row r="12" spans="1:5">
      <c r="A12" s="117" t="s">
        <v>35</v>
      </c>
      <c r="B12" s="114">
        <f>SUM(B8:B10)</f>
        <v>19806.227559299412</v>
      </c>
      <c r="C12" s="30"/>
      <c r="D12" s="30"/>
      <c r="E12" s="40">
        <f>SUM(E8:E10)</f>
        <v>19806.227559299412</v>
      </c>
    </row>
    <row r="13" spans="1:5">
      <c r="A13" s="382"/>
      <c r="B13" s="114"/>
      <c r="C13" s="30"/>
      <c r="D13" s="30"/>
      <c r="E13" s="40"/>
    </row>
    <row r="14" spans="1:5">
      <c r="A14" s="117" t="s">
        <v>61</v>
      </c>
      <c r="B14" s="114"/>
      <c r="C14" s="30"/>
      <c r="D14" s="30"/>
      <c r="E14" s="40"/>
    </row>
    <row r="15" spans="1:5">
      <c r="A15" s="383">
        <f>Inputs!C3</f>
        <v>2.7723662892949787E-2</v>
      </c>
      <c r="B15" s="114"/>
      <c r="C15" s="30"/>
      <c r="D15" s="30"/>
      <c r="E15" s="40"/>
    </row>
    <row r="16" spans="1:5">
      <c r="A16" s="36" t="s">
        <v>60</v>
      </c>
      <c r="B16" s="114"/>
      <c r="C16" s="30"/>
      <c r="D16" s="30"/>
      <c r="E16" s="40"/>
    </row>
    <row r="17" spans="1:5">
      <c r="A17" s="47">
        <f>Inputs!C4</f>
        <v>1.5023E-2</v>
      </c>
      <c r="B17" s="114"/>
      <c r="C17" s="30"/>
      <c r="D17" s="30"/>
      <c r="E17" s="40"/>
    </row>
    <row r="18" spans="1:5">
      <c r="A18" s="384" t="s">
        <v>97</v>
      </c>
      <c r="B18" s="114">
        <f>(B8*(1+$A$15)*(1+$A$17))</f>
        <v>18266.18799817728</v>
      </c>
      <c r="C18" s="30"/>
      <c r="D18" s="30"/>
      <c r="E18" s="40">
        <f>(E8*(1+$A$15)*(1+$A$17))</f>
        <v>18266.18799817728</v>
      </c>
    </row>
    <row r="19" spans="1:5">
      <c r="A19" s="384" t="s">
        <v>51</v>
      </c>
      <c r="B19" s="114">
        <f t="shared" ref="B19:B20" si="0">(B9*(1+$A$15)*(1+$A$17))</f>
        <v>1502.7286156553944</v>
      </c>
      <c r="C19" s="30"/>
      <c r="D19" s="30"/>
      <c r="E19" s="40">
        <f t="shared" ref="E19:E20" si="1">(E9*(1+$A$15)*(1+$A$17))</f>
        <v>1502.7286156553944</v>
      </c>
    </row>
    <row r="20" spans="1:5">
      <c r="A20" s="384" t="s">
        <v>52</v>
      </c>
      <c r="B20" s="114">
        <f t="shared" si="0"/>
        <v>892.2102250927361</v>
      </c>
      <c r="C20" s="30"/>
      <c r="D20" s="30"/>
      <c r="E20" s="40">
        <f t="shared" si="1"/>
        <v>892.2102250927361</v>
      </c>
    </row>
    <row r="21" spans="1:5">
      <c r="A21" s="117"/>
      <c r="B21" s="119"/>
      <c r="C21" s="73"/>
      <c r="D21" s="73"/>
      <c r="E21" s="75"/>
    </row>
    <row r="22" spans="1:5">
      <c r="A22" s="117" t="s">
        <v>35</v>
      </c>
      <c r="B22" s="119">
        <f>B18+B19+B20</f>
        <v>20661.126838925407</v>
      </c>
      <c r="C22" s="73"/>
      <c r="D22" s="73"/>
      <c r="E22" s="75">
        <f>E18+E19+E20</f>
        <v>20661.126838925407</v>
      </c>
    </row>
    <row r="23" spans="1:5">
      <c r="A23" s="117"/>
      <c r="B23" s="114"/>
      <c r="C23" s="30"/>
      <c r="D23" s="30"/>
      <c r="E23" s="40"/>
    </row>
    <row r="24" spans="1:5">
      <c r="A24" s="384" t="str">
        <f>'Resid TSM Sum by Rate Schedule'!A25</f>
        <v>Annualized Transformer Cost at 8.05%</v>
      </c>
      <c r="B24" s="119">
        <f>B18*Inputs!$C$5</f>
        <v>1470.0383796793185</v>
      </c>
      <c r="C24" s="73"/>
      <c r="D24" s="73"/>
      <c r="E24" s="75">
        <f>E18*Inputs!$C$5</f>
        <v>1470.0383796793185</v>
      </c>
    </row>
    <row r="25" spans="1:5">
      <c r="A25" s="384" t="str">
        <f>'Resid TSM Sum by Rate Schedule'!A26</f>
        <v>Annualized Services Cost at 7.08%</v>
      </c>
      <c r="B25" s="119">
        <f>B19*Inputs!$C$6</f>
        <v>106.35570784917049</v>
      </c>
      <c r="C25" s="73"/>
      <c r="D25" s="73"/>
      <c r="E25" s="75">
        <f>E19*Inputs!$C$6</f>
        <v>106.35570784917049</v>
      </c>
    </row>
    <row r="26" spans="1:5" ht="15">
      <c r="A26" s="384" t="str">
        <f>'Resid TSM Sum by Rate Schedule'!A27</f>
        <v>Annualized Meter Cost at 10.78%</v>
      </c>
      <c r="B26" s="465">
        <f>B20*Inputs!$C$7</f>
        <v>96.150328028876871</v>
      </c>
      <c r="C26" s="464"/>
      <c r="D26" s="464"/>
      <c r="E26" s="463">
        <f>E20*Inputs!$C$7</f>
        <v>96.150328028876871</v>
      </c>
    </row>
    <row r="27" spans="1:5">
      <c r="A27" s="459" t="s">
        <v>312</v>
      </c>
      <c r="B27" s="119">
        <f>SUM(B24:B26)</f>
        <v>1672.5444155573659</v>
      </c>
      <c r="C27" s="73"/>
      <c r="D27" s="73"/>
      <c r="E27" s="75">
        <f>SUM(E24:E26)</f>
        <v>1672.5444155573659</v>
      </c>
    </row>
    <row r="28" spans="1:5">
      <c r="A28" s="383"/>
      <c r="B28" s="114"/>
      <c r="C28" s="30"/>
      <c r="D28" s="30"/>
      <c r="E28" s="40"/>
    </row>
    <row r="29" spans="1:5">
      <c r="A29" s="117" t="s">
        <v>50</v>
      </c>
      <c r="B29" s="114">
        <f>'Distribution O&amp;M Allocations'!Z20</f>
        <v>665.0215494399265</v>
      </c>
      <c r="C29" s="30"/>
      <c r="D29" s="30"/>
      <c r="E29" s="40">
        <f>'Distribution O&amp;M Allocations'!Z20</f>
        <v>665.0215494399265</v>
      </c>
    </row>
    <row r="30" spans="1:5">
      <c r="A30" s="118"/>
      <c r="B30" s="10"/>
      <c r="C30" s="27"/>
      <c r="D30" s="27"/>
      <c r="E30" s="81"/>
    </row>
    <row r="31" spans="1:5">
      <c r="A31" s="117" t="s">
        <v>57</v>
      </c>
      <c r="B31" s="723">
        <v>447.86258547437507</v>
      </c>
      <c r="C31" s="165"/>
      <c r="D31" s="165"/>
      <c r="E31" s="293">
        <f>B31</f>
        <v>447.86258547437507</v>
      </c>
    </row>
    <row r="32" spans="1:5" ht="13.5" thickBot="1">
      <c r="A32" s="118"/>
      <c r="B32" s="116"/>
      <c r="C32" s="87"/>
      <c r="D32" s="87"/>
      <c r="E32" s="88"/>
    </row>
    <row r="33" spans="1:5" ht="13.5" thickBot="1">
      <c r="A33" s="385" t="s">
        <v>133</v>
      </c>
      <c r="B33" s="282">
        <f>B27+B29+B31</f>
        <v>2785.4285504716672</v>
      </c>
      <c r="C33" s="283"/>
      <c r="D33" s="283"/>
      <c r="E33" s="294">
        <f>E27+E29+E31</f>
        <v>2785.4285504716672</v>
      </c>
    </row>
    <row r="34" spans="1:5">
      <c r="B34" s="13"/>
      <c r="C34" s="13"/>
      <c r="D34" s="13"/>
      <c r="E34" s="13"/>
    </row>
    <row r="36" spans="1:5">
      <c r="A36" t="s">
        <v>3</v>
      </c>
    </row>
    <row r="44" spans="1:5">
      <c r="A44" s="19"/>
    </row>
    <row r="56" spans="1:1">
      <c r="A56" s="19"/>
    </row>
  </sheetData>
  <mergeCells count="2">
    <mergeCell ref="A1:E1"/>
    <mergeCell ref="B2:E2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38">
    <tabColor rgb="FFFFC000"/>
    <pageSetUpPr fitToPage="1"/>
  </sheetPr>
  <dimension ref="A1:E58"/>
  <sheetViews>
    <sheetView topLeftCell="A11" zoomScaleNormal="100" workbookViewId="0">
      <selection activeCell="E33" sqref="E33"/>
    </sheetView>
  </sheetViews>
  <sheetFormatPr defaultRowHeight="12.75"/>
  <cols>
    <col min="1" max="1" width="40.7109375" customWidth="1"/>
    <col min="2" max="2" width="10.28515625" style="12" bestFit="1" customWidth="1"/>
    <col min="3" max="3" width="17" style="12" bestFit="1" customWidth="1"/>
    <col min="4" max="4" width="10.28515625" style="12" customWidth="1"/>
    <col min="5" max="5" width="10.28515625" style="12" bestFit="1" customWidth="1"/>
  </cols>
  <sheetData>
    <row r="1" spans="1:5" ht="18.75" thickBot="1">
      <c r="A1" s="741" t="s">
        <v>336</v>
      </c>
      <c r="B1" s="741"/>
      <c r="C1" s="741"/>
      <c r="D1" s="741"/>
      <c r="E1" s="741"/>
    </row>
    <row r="2" spans="1:5" ht="13.5" thickBot="1">
      <c r="A2" s="103"/>
      <c r="B2" s="743" t="s">
        <v>205</v>
      </c>
      <c r="C2" s="743"/>
      <c r="D2" s="743"/>
      <c r="E2" s="744"/>
    </row>
    <row r="3" spans="1:5" ht="13.5" thickBot="1">
      <c r="A3" s="77" t="s">
        <v>47</v>
      </c>
      <c r="B3" s="303" t="s">
        <v>152</v>
      </c>
      <c r="C3" s="303" t="s">
        <v>124</v>
      </c>
      <c r="D3" s="303" t="s">
        <v>88</v>
      </c>
      <c r="E3" s="451" t="s">
        <v>135</v>
      </c>
    </row>
    <row r="4" spans="1:5">
      <c r="A4" s="35"/>
      <c r="B4" s="5"/>
      <c r="C4" s="6"/>
      <c r="D4" s="6"/>
      <c r="E4" s="7"/>
    </row>
    <row r="5" spans="1:5">
      <c r="A5" s="36"/>
      <c r="B5" s="104"/>
      <c r="C5" s="8"/>
      <c r="D5" s="8"/>
      <c r="E5" s="9"/>
    </row>
    <row r="6" spans="1:5">
      <c r="A6" s="36" t="s">
        <v>49</v>
      </c>
      <c r="B6" s="114"/>
      <c r="C6" s="30"/>
      <c r="D6" s="30"/>
      <c r="E6" s="40"/>
    </row>
    <row r="7" spans="1:5">
      <c r="A7" s="37"/>
      <c r="B7" s="114"/>
      <c r="C7" s="30"/>
      <c r="D7" s="30"/>
      <c r="E7" s="40"/>
    </row>
    <row r="8" spans="1:5">
      <c r="A8" s="36" t="s">
        <v>53</v>
      </c>
      <c r="B8" s="115">
        <f>'Sch OL-TOU TSM Summary'!B8*Inputs!$C$12</f>
        <v>19001.289849894278</v>
      </c>
      <c r="C8" s="134"/>
      <c r="D8" s="134"/>
      <c r="E8" s="44">
        <f>'Sch OL-TOU TSM Summary'!E8*Inputs!$C$12</f>
        <v>19001.289849894278</v>
      </c>
    </row>
    <row r="9" spans="1:5">
      <c r="A9" s="36" t="s">
        <v>51</v>
      </c>
      <c r="B9" s="115">
        <f>'Sch OL-TOU TSM Summary'!B9*Inputs!$C$12</f>
        <v>1563.2042106786489</v>
      </c>
      <c r="C9" s="134"/>
      <c r="D9" s="134"/>
      <c r="E9" s="44">
        <f>'Sch OL-TOU TSM Summary'!E9*Inputs!$C$12</f>
        <v>1563.2042106786489</v>
      </c>
    </row>
    <row r="10" spans="1:5">
      <c r="A10" s="36" t="s">
        <v>52</v>
      </c>
      <c r="B10" s="115">
        <f>'Sch OL-TOU TSM Summary'!B10*Inputs!$C$12</f>
        <v>928.11620551141766</v>
      </c>
      <c r="C10" s="134"/>
      <c r="D10" s="134"/>
      <c r="E10" s="44">
        <f>'Sch OL-TOU TSM Summary'!E10*Inputs!$C$12</f>
        <v>928.11620551141766</v>
      </c>
    </row>
    <row r="11" spans="1:5">
      <c r="A11" s="38"/>
      <c r="B11" s="114"/>
      <c r="C11" s="30"/>
      <c r="D11" s="30"/>
      <c r="E11" s="40"/>
    </row>
    <row r="12" spans="1:5">
      <c r="A12" s="36" t="s">
        <v>35</v>
      </c>
      <c r="B12" s="114">
        <f>SUM(B8:B10)</f>
        <v>21492.610266084346</v>
      </c>
      <c r="C12" s="30"/>
      <c r="D12" s="30"/>
      <c r="E12" s="40">
        <f>SUM(E8:E10)</f>
        <v>21492.610266084346</v>
      </c>
    </row>
    <row r="13" spans="1:5">
      <c r="A13" s="38"/>
      <c r="B13" s="114"/>
      <c r="C13" s="30"/>
      <c r="D13" s="30"/>
      <c r="E13" s="40"/>
    </row>
    <row r="14" spans="1:5">
      <c r="A14" s="36" t="s">
        <v>61</v>
      </c>
      <c r="B14" s="114"/>
      <c r="C14" s="30"/>
      <c r="D14" s="30"/>
      <c r="E14" s="40"/>
    </row>
    <row r="15" spans="1:5">
      <c r="A15" s="47">
        <f>Inputs!C3</f>
        <v>2.7723662892949787E-2</v>
      </c>
      <c r="B15" s="114"/>
      <c r="C15" s="30"/>
      <c r="D15" s="30"/>
      <c r="E15" s="40"/>
    </row>
    <row r="16" spans="1:5">
      <c r="A16" s="36" t="s">
        <v>60</v>
      </c>
      <c r="B16" s="114"/>
      <c r="C16" s="30"/>
      <c r="D16" s="30"/>
      <c r="E16" s="40"/>
    </row>
    <row r="17" spans="1:5">
      <c r="A17" s="47">
        <f>Inputs!C4</f>
        <v>1.5023E-2</v>
      </c>
      <c r="B17" s="114"/>
      <c r="C17" s="30"/>
      <c r="D17" s="30"/>
      <c r="E17" s="40"/>
    </row>
    <row r="18" spans="1:5">
      <c r="A18" s="94" t="s">
        <v>97</v>
      </c>
      <c r="B18" s="114">
        <f>(B8*(1+$A$15)*(1+$A$17))</f>
        <v>19821.445478017034</v>
      </c>
      <c r="C18" s="30"/>
      <c r="D18" s="30"/>
      <c r="E18" s="40">
        <f>(E8*(1+$A$15)*(1+$A$17))</f>
        <v>19821.445478017034</v>
      </c>
    </row>
    <row r="19" spans="1:5">
      <c r="A19" s="94" t="s">
        <v>51</v>
      </c>
      <c r="B19" s="114">
        <f t="shared" ref="B19:B20" si="0">(B9*(1+$A$15)*(1+$A$17))</f>
        <v>1630.6770370720853</v>
      </c>
      <c r="C19" s="30"/>
      <c r="D19" s="30"/>
      <c r="E19" s="40">
        <f t="shared" ref="E19:E20" si="1">(E9*(1+$A$15)*(1+$A$17))</f>
        <v>1630.6770370720853</v>
      </c>
    </row>
    <row r="20" spans="1:5">
      <c r="A20" s="94" t="s">
        <v>52</v>
      </c>
      <c r="B20" s="114">
        <f t="shared" si="0"/>
        <v>968.17662959396273</v>
      </c>
      <c r="C20" s="30"/>
      <c r="D20" s="30"/>
      <c r="E20" s="40">
        <f t="shared" si="1"/>
        <v>968.17662959396273</v>
      </c>
    </row>
    <row r="21" spans="1:5">
      <c r="A21" s="36"/>
      <c r="B21" s="119"/>
      <c r="C21" s="73"/>
      <c r="D21" s="73"/>
      <c r="E21" s="75"/>
    </row>
    <row r="22" spans="1:5">
      <c r="A22" s="36" t="s">
        <v>35</v>
      </c>
      <c r="B22" s="119">
        <f>B18+B19+B20</f>
        <v>22420.299144683082</v>
      </c>
      <c r="C22" s="73"/>
      <c r="D22" s="73"/>
      <c r="E22" s="75">
        <f>E18+E19+E20</f>
        <v>22420.299144683082</v>
      </c>
    </row>
    <row r="23" spans="1:5">
      <c r="A23" s="36"/>
      <c r="B23" s="114"/>
      <c r="C23" s="30"/>
      <c r="D23" s="30"/>
      <c r="E23" s="40"/>
    </row>
    <row r="24" spans="1:5">
      <c r="A24" s="94" t="str">
        <f>'Resid TSM Sum by Rate Schedule'!A25</f>
        <v>Annualized Transformer Cost at 8.05%</v>
      </c>
      <c r="B24" s="119">
        <f>B18*Inputs!$C$5</f>
        <v>1595.2034215520898</v>
      </c>
      <c r="C24" s="73"/>
      <c r="D24" s="73"/>
      <c r="E24" s="75">
        <f>E18*Inputs!$C$5</f>
        <v>1595.2034215520898</v>
      </c>
    </row>
    <row r="25" spans="1:5">
      <c r="A25" s="94" t="str">
        <f>'Resid TSM Sum by Rate Schedule'!A26</f>
        <v>Annualized Services Cost at 7.08%</v>
      </c>
      <c r="B25" s="119">
        <f>B19*Inputs!$C$6</f>
        <v>115.41126504438712</v>
      </c>
      <c r="C25" s="73"/>
      <c r="D25" s="73"/>
      <c r="E25" s="75">
        <f>E19*Inputs!$C$6</f>
        <v>115.41126504438712</v>
      </c>
    </row>
    <row r="26" spans="1:5" ht="15">
      <c r="A26" s="94" t="str">
        <f>'Resid TSM Sum by Rate Schedule'!A27</f>
        <v>Annualized Meter Cost at 10.78%</v>
      </c>
      <c r="B26" s="465">
        <f>B20*Inputs!$C$7</f>
        <v>104.3369577115933</v>
      </c>
      <c r="C26" s="464"/>
      <c r="D26" s="464"/>
      <c r="E26" s="463">
        <f>E20*Inputs!$C$7</f>
        <v>104.3369577115933</v>
      </c>
    </row>
    <row r="27" spans="1:5">
      <c r="A27" s="86" t="s">
        <v>312</v>
      </c>
      <c r="B27" s="119">
        <f>SUM(B24:B26)</f>
        <v>1814.9516443080702</v>
      </c>
      <c r="C27" s="73"/>
      <c r="D27" s="73"/>
      <c r="E27" s="75">
        <f>SUM(E24:E26)</f>
        <v>1814.9516443080702</v>
      </c>
    </row>
    <row r="28" spans="1:5">
      <c r="A28" s="47"/>
      <c r="B28" s="114"/>
      <c r="C28" s="30"/>
      <c r="D28" s="30"/>
      <c r="E28" s="40"/>
    </row>
    <row r="29" spans="1:5">
      <c r="A29" s="36" t="s">
        <v>50</v>
      </c>
      <c r="B29" s="114">
        <f>'Sch OL-TOU TSM Summary'!B$29*Inputs!$C$13</f>
        <v>700.63194629307782</v>
      </c>
      <c r="C29" s="30"/>
      <c r="D29" s="30"/>
      <c r="E29" s="40">
        <f>'Sch OL-TOU TSM Summary'!E$29*Inputs!$C$13</f>
        <v>700.63194629307782</v>
      </c>
    </row>
    <row r="30" spans="1:5" ht="15">
      <c r="A30" s="36" t="s">
        <v>379</v>
      </c>
      <c r="B30" s="552">
        <f>-Inputs!$C$18</f>
        <v>-3.0284021924274875</v>
      </c>
      <c r="C30" s="30"/>
      <c r="D30" s="30"/>
      <c r="E30" s="553">
        <f>-Inputs!$C$18</f>
        <v>-3.0284021924274875</v>
      </c>
    </row>
    <row r="31" spans="1:5">
      <c r="A31" s="36" t="s">
        <v>377</v>
      </c>
      <c r="B31" s="114">
        <f>B29+B30</f>
        <v>697.60354410065031</v>
      </c>
      <c r="C31" s="30"/>
      <c r="D31" s="30"/>
      <c r="E31" s="40">
        <f>E29+E30</f>
        <v>697.60354410065031</v>
      </c>
    </row>
    <row r="32" spans="1:5">
      <c r="A32" s="11"/>
      <c r="B32" s="10"/>
      <c r="C32" s="27"/>
      <c r="D32" s="27"/>
      <c r="E32" s="81"/>
    </row>
    <row r="33" spans="1:5">
      <c r="A33" s="36" t="s">
        <v>57</v>
      </c>
      <c r="B33" s="164">
        <f>'Sch OL-TOU TSM Summary'!B31*Inputs!$C$14</f>
        <v>481.55031066335573</v>
      </c>
      <c r="C33" s="165"/>
      <c r="D33" s="165"/>
      <c r="E33" s="293">
        <f>B33</f>
        <v>481.55031066335573</v>
      </c>
    </row>
    <row r="34" spans="1:5" ht="13.5" thickBot="1">
      <c r="A34" s="11"/>
      <c r="B34" s="116"/>
      <c r="C34" s="87"/>
      <c r="D34" s="87"/>
      <c r="E34" s="88"/>
    </row>
    <row r="35" spans="1:5" ht="13.5" thickBot="1">
      <c r="A35" s="385" t="s">
        <v>133</v>
      </c>
      <c r="B35" s="283">
        <f>B27+B31+B33</f>
        <v>2994.1054990720759</v>
      </c>
      <c r="C35" s="283"/>
      <c r="D35" s="283"/>
      <c r="E35" s="294">
        <f>E27+E31+E33</f>
        <v>2994.1054990720759</v>
      </c>
    </row>
    <row r="36" spans="1:5">
      <c r="B36" s="13"/>
      <c r="C36" s="13"/>
      <c r="D36" s="13"/>
      <c r="E36" s="13"/>
    </row>
    <row r="38" spans="1:5">
      <c r="A38" t="s">
        <v>3</v>
      </c>
    </row>
    <row r="46" spans="1:5">
      <c r="A46" s="19"/>
    </row>
    <row r="58" spans="1:1">
      <c r="A58" s="19"/>
    </row>
  </sheetData>
  <mergeCells count="2">
    <mergeCell ref="A1:E1"/>
    <mergeCell ref="B2:E2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39">
    <tabColor rgb="FFFFC000"/>
    <pageSetUpPr fitToPage="1"/>
  </sheetPr>
  <dimension ref="A1:N227"/>
  <sheetViews>
    <sheetView zoomScaleNormal="100" workbookViewId="0">
      <pane ySplit="3" topLeftCell="A29" activePane="bottomLeft" state="frozen"/>
      <selection activeCell="D15" sqref="D15"/>
      <selection pane="bottomLeft" activeCell="B50" sqref="B50:I51"/>
    </sheetView>
  </sheetViews>
  <sheetFormatPr defaultRowHeight="12.75"/>
  <cols>
    <col min="1" max="1" width="25" bestFit="1" customWidth="1"/>
    <col min="2" max="2" width="16.140625" bestFit="1" customWidth="1"/>
    <col min="3" max="3" width="15.5703125" bestFit="1" customWidth="1"/>
    <col min="4" max="4" width="11.28515625" bestFit="1" customWidth="1"/>
    <col min="5" max="5" width="10.28515625" bestFit="1" customWidth="1"/>
    <col min="6" max="6" width="9.5703125" customWidth="1"/>
    <col min="7" max="7" width="8.7109375" bestFit="1" customWidth="1"/>
    <col min="8" max="8" width="13" bestFit="1" customWidth="1"/>
    <col min="9" max="9" width="12" customWidth="1"/>
    <col min="10" max="10" width="13.140625" customWidth="1"/>
    <col min="11" max="11" width="12.42578125" bestFit="1" customWidth="1"/>
  </cols>
  <sheetData>
    <row r="1" spans="1:11" ht="18.75" thickBot="1">
      <c r="A1" s="756" t="s">
        <v>125</v>
      </c>
      <c r="B1" s="756"/>
      <c r="C1" s="756"/>
      <c r="D1" s="756"/>
      <c r="E1" s="756"/>
      <c r="F1" s="756"/>
      <c r="G1" s="756"/>
      <c r="H1" s="756"/>
      <c r="I1" s="756"/>
    </row>
    <row r="2" spans="1:11" ht="13.5" thickBot="1">
      <c r="A2" s="103"/>
      <c r="B2" s="742" t="s">
        <v>0</v>
      </c>
      <c r="C2" s="743"/>
      <c r="D2" s="743"/>
      <c r="E2" s="743"/>
      <c r="F2" s="744"/>
      <c r="G2" s="492"/>
      <c r="H2" s="103"/>
      <c r="I2" s="103"/>
    </row>
    <row r="3" spans="1:11" ht="13.5" thickBot="1">
      <c r="A3" s="77" t="s">
        <v>4</v>
      </c>
      <c r="B3" s="74" t="s">
        <v>121</v>
      </c>
      <c r="C3" s="26" t="s">
        <v>100</v>
      </c>
      <c r="D3" s="26" t="s">
        <v>33</v>
      </c>
      <c r="E3" s="26" t="s">
        <v>34</v>
      </c>
      <c r="F3" s="237" t="s">
        <v>216</v>
      </c>
      <c r="G3" s="493" t="s">
        <v>1</v>
      </c>
      <c r="H3" s="77" t="s">
        <v>87</v>
      </c>
      <c r="I3" s="77" t="s">
        <v>2</v>
      </c>
    </row>
    <row r="4" spans="1:11">
      <c r="A4" s="105"/>
      <c r="B4" s="5" t="s">
        <v>45</v>
      </c>
      <c r="C4" s="6" t="s">
        <v>45</v>
      </c>
      <c r="D4" s="6" t="s">
        <v>45</v>
      </c>
      <c r="E4" s="6" t="s">
        <v>45</v>
      </c>
      <c r="F4" s="7" t="s">
        <v>45</v>
      </c>
      <c r="G4" s="5" t="s">
        <v>45</v>
      </c>
      <c r="H4" s="105" t="s">
        <v>45</v>
      </c>
      <c r="I4" s="105" t="s">
        <v>45</v>
      </c>
    </row>
    <row r="5" spans="1:11">
      <c r="A5" s="106"/>
      <c r="B5" s="104"/>
      <c r="C5" s="8"/>
      <c r="D5" s="8"/>
      <c r="E5" s="8"/>
      <c r="F5" s="9"/>
      <c r="G5" s="104"/>
      <c r="H5" s="106"/>
      <c r="I5" s="106"/>
    </row>
    <row r="6" spans="1:11">
      <c r="A6" s="21" t="s">
        <v>5</v>
      </c>
      <c r="B6" s="441">
        <v>4</v>
      </c>
      <c r="C6" s="442">
        <v>0</v>
      </c>
      <c r="D6" s="442">
        <v>2</v>
      </c>
      <c r="E6" s="442">
        <v>0</v>
      </c>
      <c r="F6" s="188">
        <f>SUM(B6:E6)</f>
        <v>6</v>
      </c>
      <c r="G6" s="442">
        <v>0</v>
      </c>
      <c r="H6" s="441"/>
      <c r="I6" s="222">
        <f t="shared" ref="I6:I26" si="0">F6+G6+H6</f>
        <v>6</v>
      </c>
    </row>
    <row r="7" spans="1:11">
      <c r="A7" s="20" t="s">
        <v>6</v>
      </c>
      <c r="B7" s="441">
        <v>5</v>
      </c>
      <c r="C7" s="442">
        <v>0</v>
      </c>
      <c r="D7" s="442">
        <v>1</v>
      </c>
      <c r="E7" s="442">
        <v>0</v>
      </c>
      <c r="F7" s="188">
        <f t="shared" ref="F7" si="1">SUM(B7:E7)</f>
        <v>6</v>
      </c>
      <c r="G7" s="442">
        <v>1</v>
      </c>
      <c r="H7" s="441"/>
      <c r="I7" s="222">
        <f t="shared" si="0"/>
        <v>7</v>
      </c>
      <c r="J7" s="178"/>
    </row>
    <row r="8" spans="1:11">
      <c r="A8" s="22" t="s">
        <v>7</v>
      </c>
      <c r="B8" s="441">
        <v>2</v>
      </c>
      <c r="C8" s="442">
        <v>2</v>
      </c>
      <c r="D8" s="442">
        <v>3</v>
      </c>
      <c r="E8" s="442">
        <v>0</v>
      </c>
      <c r="F8" s="188">
        <f t="shared" ref="F8:F25" si="2">SUM(B8:E8)</f>
        <v>7</v>
      </c>
      <c r="G8" s="442">
        <v>0</v>
      </c>
      <c r="H8" s="441"/>
      <c r="I8" s="222">
        <f t="shared" si="0"/>
        <v>7</v>
      </c>
    </row>
    <row r="9" spans="1:11">
      <c r="A9" s="22" t="s">
        <v>110</v>
      </c>
      <c r="B9" s="441">
        <v>4</v>
      </c>
      <c r="C9" s="442">
        <v>0</v>
      </c>
      <c r="D9" s="442">
        <v>2</v>
      </c>
      <c r="E9" s="442">
        <v>1</v>
      </c>
      <c r="F9" s="188">
        <f t="shared" si="2"/>
        <v>7</v>
      </c>
      <c r="G9" s="442">
        <v>0</v>
      </c>
      <c r="H9" s="441"/>
      <c r="I9" s="222">
        <f t="shared" si="0"/>
        <v>7</v>
      </c>
    </row>
    <row r="10" spans="1:11">
      <c r="A10" s="22" t="s">
        <v>102</v>
      </c>
      <c r="B10" s="441">
        <v>4</v>
      </c>
      <c r="C10" s="442">
        <v>2</v>
      </c>
      <c r="D10" s="442">
        <v>5</v>
      </c>
      <c r="E10" s="442">
        <v>1</v>
      </c>
      <c r="F10" s="188">
        <f t="shared" si="2"/>
        <v>12</v>
      </c>
      <c r="G10" s="442">
        <v>0</v>
      </c>
      <c r="H10" s="441"/>
      <c r="I10" s="222">
        <f t="shared" si="0"/>
        <v>12</v>
      </c>
      <c r="K10" s="178"/>
    </row>
    <row r="11" spans="1:11">
      <c r="A11" s="22" t="s">
        <v>8</v>
      </c>
      <c r="B11" s="441">
        <v>26</v>
      </c>
      <c r="C11" s="442">
        <v>6</v>
      </c>
      <c r="D11" s="442">
        <v>56</v>
      </c>
      <c r="E11" s="442">
        <v>12</v>
      </c>
      <c r="F11" s="188">
        <f t="shared" si="2"/>
        <v>100</v>
      </c>
      <c r="G11" s="442">
        <v>2</v>
      </c>
      <c r="H11" s="441"/>
      <c r="I11" s="222">
        <f t="shared" si="0"/>
        <v>102</v>
      </c>
    </row>
    <row r="12" spans="1:11">
      <c r="A12" s="22" t="s">
        <v>9</v>
      </c>
      <c r="B12" s="441">
        <v>16</v>
      </c>
      <c r="C12" s="442">
        <v>3</v>
      </c>
      <c r="D12" s="442">
        <v>64</v>
      </c>
      <c r="E12" s="442">
        <v>13</v>
      </c>
      <c r="F12" s="188">
        <f t="shared" si="2"/>
        <v>96</v>
      </c>
      <c r="G12" s="442">
        <v>0</v>
      </c>
      <c r="H12" s="441"/>
      <c r="I12" s="222">
        <f t="shared" si="0"/>
        <v>96</v>
      </c>
      <c r="J12" s="178"/>
      <c r="K12" s="178"/>
    </row>
    <row r="13" spans="1:11">
      <c r="A13" s="22" t="s">
        <v>10</v>
      </c>
      <c r="B13" s="441">
        <v>1</v>
      </c>
      <c r="C13" s="442">
        <v>1</v>
      </c>
      <c r="D13" s="442">
        <v>44</v>
      </c>
      <c r="E13" s="442">
        <v>10</v>
      </c>
      <c r="F13" s="188">
        <f t="shared" si="2"/>
        <v>56</v>
      </c>
      <c r="G13" s="442">
        <v>0</v>
      </c>
      <c r="H13" s="441"/>
      <c r="I13" s="222">
        <f t="shared" si="0"/>
        <v>56</v>
      </c>
      <c r="K13" s="178"/>
    </row>
    <row r="14" spans="1:11">
      <c r="A14" s="22" t="s">
        <v>11</v>
      </c>
      <c r="B14" s="441">
        <v>2</v>
      </c>
      <c r="C14" s="442">
        <v>1</v>
      </c>
      <c r="D14" s="442">
        <v>81</v>
      </c>
      <c r="E14" s="442">
        <v>20</v>
      </c>
      <c r="F14" s="188">
        <f t="shared" si="2"/>
        <v>104</v>
      </c>
      <c r="G14" s="442">
        <v>5</v>
      </c>
      <c r="H14" s="441"/>
      <c r="I14" s="222">
        <f t="shared" si="0"/>
        <v>109</v>
      </c>
    </row>
    <row r="15" spans="1:11">
      <c r="A15" s="22" t="s">
        <v>106</v>
      </c>
      <c r="B15" s="441">
        <v>1</v>
      </c>
      <c r="C15" s="442">
        <v>1</v>
      </c>
      <c r="D15" s="442">
        <v>86</v>
      </c>
      <c r="E15" s="442">
        <v>52</v>
      </c>
      <c r="F15" s="188">
        <f t="shared" si="2"/>
        <v>140</v>
      </c>
      <c r="G15" s="442">
        <v>6</v>
      </c>
      <c r="H15" s="441"/>
      <c r="I15" s="222">
        <f t="shared" si="0"/>
        <v>146</v>
      </c>
    </row>
    <row r="16" spans="1:11">
      <c r="A16" s="22" t="s">
        <v>107</v>
      </c>
      <c r="B16" s="441"/>
      <c r="C16" s="442"/>
      <c r="D16" s="442">
        <v>60</v>
      </c>
      <c r="E16" s="442">
        <v>43</v>
      </c>
      <c r="F16" s="188">
        <f t="shared" si="2"/>
        <v>103</v>
      </c>
      <c r="G16" s="442">
        <v>6</v>
      </c>
      <c r="H16" s="441"/>
      <c r="I16" s="222">
        <f t="shared" si="0"/>
        <v>109</v>
      </c>
    </row>
    <row r="17" spans="1:9">
      <c r="A17" s="22" t="s">
        <v>12</v>
      </c>
      <c r="B17" s="441"/>
      <c r="C17" s="442"/>
      <c r="D17" s="442">
        <v>21</v>
      </c>
      <c r="E17" s="442">
        <v>82</v>
      </c>
      <c r="F17" s="188">
        <f t="shared" si="2"/>
        <v>103</v>
      </c>
      <c r="G17" s="442">
        <v>3</v>
      </c>
      <c r="H17" s="441"/>
      <c r="I17" s="222">
        <f t="shared" si="0"/>
        <v>106</v>
      </c>
    </row>
    <row r="18" spans="1:9">
      <c r="A18" s="22" t="s">
        <v>13</v>
      </c>
      <c r="B18" s="441"/>
      <c r="C18" s="442"/>
      <c r="D18" s="442">
        <v>2</v>
      </c>
      <c r="E18" s="442">
        <v>27</v>
      </c>
      <c r="F18" s="188">
        <f t="shared" si="2"/>
        <v>29</v>
      </c>
      <c r="G18" s="442">
        <v>11</v>
      </c>
      <c r="H18" s="441"/>
      <c r="I18" s="222">
        <f t="shared" si="0"/>
        <v>40</v>
      </c>
    </row>
    <row r="19" spans="1:9">
      <c r="A19" s="22" t="s">
        <v>108</v>
      </c>
      <c r="B19" s="441"/>
      <c r="C19" s="442"/>
      <c r="D19" s="442">
        <v>0</v>
      </c>
      <c r="E19" s="442">
        <v>12</v>
      </c>
      <c r="F19" s="188">
        <f t="shared" si="2"/>
        <v>12</v>
      </c>
      <c r="G19" s="442">
        <v>1</v>
      </c>
      <c r="H19" s="441"/>
      <c r="I19" s="222">
        <f t="shared" si="0"/>
        <v>13</v>
      </c>
    </row>
    <row r="20" spans="1:9" s="52" customFormat="1">
      <c r="A20" s="22" t="s">
        <v>109</v>
      </c>
      <c r="B20" s="441"/>
      <c r="C20" s="442"/>
      <c r="D20" s="442">
        <v>2</v>
      </c>
      <c r="E20" s="442">
        <v>5</v>
      </c>
      <c r="F20" s="188">
        <f t="shared" si="2"/>
        <v>7</v>
      </c>
      <c r="G20" s="442">
        <v>0</v>
      </c>
      <c r="H20" s="441"/>
      <c r="I20" s="222">
        <f t="shared" si="0"/>
        <v>7</v>
      </c>
    </row>
    <row r="21" spans="1:9">
      <c r="A21" s="22" t="s">
        <v>14</v>
      </c>
      <c r="B21" s="441"/>
      <c r="C21" s="442"/>
      <c r="D21" s="442"/>
      <c r="E21" s="442">
        <v>10</v>
      </c>
      <c r="F21" s="188">
        <f t="shared" si="2"/>
        <v>10</v>
      </c>
      <c r="G21" s="442">
        <v>3</v>
      </c>
      <c r="H21" s="441"/>
      <c r="I21" s="222">
        <f t="shared" si="0"/>
        <v>13</v>
      </c>
    </row>
    <row r="22" spans="1:9">
      <c r="A22" s="22" t="s">
        <v>15</v>
      </c>
      <c r="B22" s="441"/>
      <c r="C22" s="442"/>
      <c r="D22" s="442"/>
      <c r="E22" s="442">
        <v>2</v>
      </c>
      <c r="F22" s="188">
        <f t="shared" si="2"/>
        <v>2</v>
      </c>
      <c r="G22" s="442">
        <v>0</v>
      </c>
      <c r="H22" s="441"/>
      <c r="I22" s="222">
        <f t="shared" si="0"/>
        <v>2</v>
      </c>
    </row>
    <row r="23" spans="1:9">
      <c r="A23" s="21" t="s">
        <v>16</v>
      </c>
      <c r="B23" s="441"/>
      <c r="C23" s="442"/>
      <c r="D23" s="442"/>
      <c r="E23" s="442">
        <v>0</v>
      </c>
      <c r="F23" s="188">
        <f t="shared" si="2"/>
        <v>0</v>
      </c>
      <c r="G23" s="442">
        <v>1</v>
      </c>
      <c r="H23" s="441"/>
      <c r="I23" s="222">
        <f t="shared" si="0"/>
        <v>1</v>
      </c>
    </row>
    <row r="24" spans="1:9">
      <c r="A24" s="22" t="s">
        <v>17</v>
      </c>
      <c r="B24" s="441"/>
      <c r="C24" s="442"/>
      <c r="D24" s="442"/>
      <c r="E24" s="442">
        <v>3</v>
      </c>
      <c r="F24" s="188">
        <f t="shared" si="2"/>
        <v>3</v>
      </c>
      <c r="G24" s="442">
        <v>4</v>
      </c>
      <c r="H24" s="441"/>
      <c r="I24" s="222">
        <f t="shared" si="0"/>
        <v>7</v>
      </c>
    </row>
    <row r="25" spans="1:9">
      <c r="A25" s="22" t="s">
        <v>18</v>
      </c>
      <c r="B25" s="441"/>
      <c r="C25" s="442"/>
      <c r="D25" s="442"/>
      <c r="E25" s="442">
        <v>1</v>
      </c>
      <c r="F25" s="188">
        <f t="shared" si="2"/>
        <v>1</v>
      </c>
      <c r="G25" s="442">
        <v>1</v>
      </c>
      <c r="H25" s="441"/>
      <c r="I25" s="222">
        <f t="shared" si="0"/>
        <v>2</v>
      </c>
    </row>
    <row r="26" spans="1:9">
      <c r="A26" s="22" t="s">
        <v>19</v>
      </c>
      <c r="B26" s="441"/>
      <c r="C26" s="442"/>
      <c r="D26" s="442"/>
      <c r="E26" s="442"/>
      <c r="F26" s="188"/>
      <c r="G26" s="442">
        <v>1</v>
      </c>
      <c r="H26" s="441"/>
      <c r="I26" s="222">
        <f t="shared" si="0"/>
        <v>1</v>
      </c>
    </row>
    <row r="27" spans="1:9">
      <c r="A27" s="22" t="s">
        <v>20</v>
      </c>
      <c r="B27" s="441"/>
      <c r="C27" s="442"/>
      <c r="D27" s="442"/>
      <c r="E27" s="442"/>
      <c r="F27" s="188"/>
      <c r="G27" s="442"/>
      <c r="H27" s="441"/>
      <c r="I27" s="222"/>
    </row>
    <row r="28" spans="1:9">
      <c r="A28" s="22" t="s">
        <v>21</v>
      </c>
      <c r="B28" s="441"/>
      <c r="C28" s="442"/>
      <c r="D28" s="442"/>
      <c r="E28" s="442"/>
      <c r="F28" s="188"/>
      <c r="G28" s="442"/>
      <c r="H28" s="441"/>
      <c r="I28" s="222"/>
    </row>
    <row r="29" spans="1:9">
      <c r="A29" s="22" t="s">
        <v>22</v>
      </c>
      <c r="B29" s="441"/>
      <c r="C29" s="442"/>
      <c r="D29" s="442"/>
      <c r="E29" s="442"/>
      <c r="F29" s="188"/>
      <c r="G29" s="442"/>
      <c r="H29" s="441"/>
      <c r="I29" s="222"/>
    </row>
    <row r="30" spans="1:9">
      <c r="A30" s="22" t="s">
        <v>23</v>
      </c>
      <c r="B30" s="441"/>
      <c r="C30" s="442"/>
      <c r="D30" s="442"/>
      <c r="E30" s="442"/>
      <c r="F30" s="188"/>
      <c r="G30" s="441"/>
      <c r="H30" s="441"/>
      <c r="I30" s="222"/>
    </row>
    <row r="31" spans="1:9">
      <c r="A31" s="22" t="s">
        <v>24</v>
      </c>
      <c r="B31" s="441"/>
      <c r="C31" s="442"/>
      <c r="D31" s="442"/>
      <c r="E31" s="442"/>
      <c r="F31" s="188"/>
      <c r="G31" s="441"/>
      <c r="H31" s="441"/>
      <c r="I31" s="222"/>
    </row>
    <row r="32" spans="1:9">
      <c r="A32" s="21" t="s">
        <v>25</v>
      </c>
      <c r="B32" s="441"/>
      <c r="C32" s="442"/>
      <c r="D32" s="442"/>
      <c r="E32" s="442"/>
      <c r="F32" s="188"/>
      <c r="G32" s="441"/>
      <c r="H32" s="441"/>
      <c r="I32" s="222"/>
    </row>
    <row r="33" spans="1:14">
      <c r="A33" s="21" t="s">
        <v>111</v>
      </c>
      <c r="B33" s="441"/>
      <c r="C33" s="442"/>
      <c r="D33" s="442"/>
      <c r="E33" s="442"/>
      <c r="F33" s="188"/>
      <c r="G33" s="441"/>
      <c r="H33" s="441"/>
      <c r="I33" s="222"/>
    </row>
    <row r="34" spans="1:14">
      <c r="A34" s="21" t="s">
        <v>112</v>
      </c>
      <c r="B34" s="441"/>
      <c r="C34" s="442"/>
      <c r="D34" s="442"/>
      <c r="E34" s="442"/>
      <c r="F34" s="188"/>
      <c r="G34" s="441"/>
      <c r="H34" s="441"/>
      <c r="I34" s="222"/>
    </row>
    <row r="35" spans="1:14">
      <c r="A35" s="21" t="s">
        <v>26</v>
      </c>
      <c r="B35" s="441"/>
      <c r="C35" s="442"/>
      <c r="D35" s="442"/>
      <c r="E35" s="442"/>
      <c r="F35" s="188"/>
      <c r="G35" s="441"/>
      <c r="H35" s="441"/>
      <c r="I35" s="222"/>
    </row>
    <row r="36" spans="1:14">
      <c r="A36" s="21" t="s">
        <v>27</v>
      </c>
      <c r="B36" s="441"/>
      <c r="C36" s="442"/>
      <c r="D36" s="442"/>
      <c r="E36" s="442"/>
      <c r="F36" s="188"/>
      <c r="G36" s="441"/>
      <c r="H36" s="441"/>
      <c r="I36" s="222"/>
    </row>
    <row r="37" spans="1:14" ht="13.5" thickBot="1">
      <c r="A37" s="124"/>
      <c r="B37" s="208"/>
      <c r="C37" s="209"/>
      <c r="D37" s="209"/>
      <c r="E37" s="209"/>
      <c r="F37" s="213"/>
      <c r="G37" s="495"/>
      <c r="H37" s="257"/>
      <c r="I37" s="230"/>
    </row>
    <row r="38" spans="1:14" ht="13.5" thickBot="1">
      <c r="A38" s="181" t="s">
        <v>2</v>
      </c>
      <c r="B38" s="363">
        <f t="shared" ref="B38:G38" si="3">SUM(B6:B37)</f>
        <v>65</v>
      </c>
      <c r="C38" s="354">
        <f t="shared" si="3"/>
        <v>16</v>
      </c>
      <c r="D38" s="354">
        <f t="shared" si="3"/>
        <v>429</v>
      </c>
      <c r="E38" s="354">
        <f t="shared" si="3"/>
        <v>294</v>
      </c>
      <c r="F38" s="364">
        <f t="shared" si="3"/>
        <v>804</v>
      </c>
      <c r="G38" s="353">
        <f t="shared" si="3"/>
        <v>45</v>
      </c>
      <c r="H38" s="354"/>
      <c r="I38" s="353">
        <f>SUM(I6:I37)</f>
        <v>849</v>
      </c>
      <c r="K38" s="550"/>
      <c r="L38" s="550"/>
      <c r="M38" s="550"/>
      <c r="N38" s="550"/>
    </row>
    <row r="39" spans="1:14">
      <c r="A39" s="21" t="s">
        <v>149</v>
      </c>
      <c r="B39" s="394">
        <f t="shared" ref="B39:G39" si="4">SUM(B6:B19)</f>
        <v>65</v>
      </c>
      <c r="C39" s="395">
        <f t="shared" si="4"/>
        <v>16</v>
      </c>
      <c r="D39" s="395">
        <f t="shared" si="4"/>
        <v>427</v>
      </c>
      <c r="E39" s="395">
        <f t="shared" si="4"/>
        <v>273</v>
      </c>
      <c r="F39" s="396">
        <f t="shared" si="4"/>
        <v>781</v>
      </c>
      <c r="G39" s="356">
        <f t="shared" si="4"/>
        <v>35</v>
      </c>
      <c r="H39" s="355"/>
      <c r="I39" s="358">
        <f>SUM(I6:I19)</f>
        <v>816</v>
      </c>
      <c r="K39" s="550"/>
      <c r="L39" s="550"/>
      <c r="N39" s="550"/>
    </row>
    <row r="40" spans="1:14">
      <c r="A40" s="124" t="s">
        <v>124</v>
      </c>
      <c r="B40" s="355">
        <f t="shared" ref="B40:I40" si="5">SUM(B20:B33)</f>
        <v>0</v>
      </c>
      <c r="C40" s="356">
        <f t="shared" si="5"/>
        <v>0</v>
      </c>
      <c r="D40" s="356">
        <f t="shared" si="5"/>
        <v>2</v>
      </c>
      <c r="E40" s="356">
        <f t="shared" si="5"/>
        <v>21</v>
      </c>
      <c r="F40" s="357">
        <f t="shared" si="5"/>
        <v>23</v>
      </c>
      <c r="G40" s="356">
        <f t="shared" si="5"/>
        <v>10</v>
      </c>
      <c r="H40" s="358"/>
      <c r="I40" s="358">
        <f t="shared" si="5"/>
        <v>33</v>
      </c>
      <c r="K40" s="550"/>
      <c r="L40" s="550"/>
      <c r="N40" s="550"/>
    </row>
    <row r="41" spans="1:14" ht="13.5" thickBot="1">
      <c r="A41" s="179" t="s">
        <v>88</v>
      </c>
      <c r="B41" s="359">
        <f t="shared" ref="B41:I41" si="6">SUM(B34:B36)</f>
        <v>0</v>
      </c>
      <c r="C41" s="360">
        <f t="shared" si="6"/>
        <v>0</v>
      </c>
      <c r="D41" s="360">
        <f t="shared" si="6"/>
        <v>0</v>
      </c>
      <c r="E41" s="360">
        <f t="shared" si="6"/>
        <v>0</v>
      </c>
      <c r="F41" s="361">
        <f t="shared" si="6"/>
        <v>0</v>
      </c>
      <c r="G41" s="360">
        <f t="shared" si="6"/>
        <v>0</v>
      </c>
      <c r="H41" s="362"/>
      <c r="I41" s="362">
        <f t="shared" si="6"/>
        <v>0</v>
      </c>
      <c r="K41" s="550"/>
      <c r="L41" s="550"/>
      <c r="N41" s="550"/>
    </row>
    <row r="42" spans="1:14">
      <c r="A42" s="121"/>
      <c r="B42" s="244"/>
      <c r="C42" s="244"/>
      <c r="D42" s="244"/>
      <c r="E42" s="244"/>
      <c r="F42" s="244"/>
      <c r="G42" s="244"/>
      <c r="H42" s="244"/>
      <c r="I42" s="432"/>
    </row>
    <row r="43" spans="1:14">
      <c r="A43" s="29" t="s">
        <v>307</v>
      </c>
      <c r="B43" s="12"/>
      <c r="C43" s="12"/>
      <c r="D43" s="12"/>
      <c r="E43" s="12"/>
      <c r="F43" s="12"/>
      <c r="G43" s="12"/>
      <c r="H43" s="12"/>
      <c r="I43" s="449"/>
    </row>
    <row r="44" spans="1:14">
      <c r="A44" s="29"/>
      <c r="B44" s="421" t="s">
        <v>401</v>
      </c>
      <c r="C44" s="12"/>
      <c r="D44" s="12"/>
      <c r="E44" s="12"/>
      <c r="F44" s="12"/>
      <c r="G44" s="12"/>
      <c r="H44" s="12"/>
      <c r="I44" s="449"/>
    </row>
    <row r="45" spans="1:14" ht="13.5" thickBot="1">
      <c r="A45" s="72"/>
      <c r="B45" s="438" t="s">
        <v>306</v>
      </c>
      <c r="C45" s="28"/>
      <c r="D45" s="28"/>
      <c r="E45" s="28"/>
      <c r="F45" s="28"/>
      <c r="G45" s="28"/>
      <c r="H45" s="28"/>
      <c r="I45" s="433"/>
    </row>
    <row r="46" spans="1:14">
      <c r="A46" s="120"/>
      <c r="I46" s="178"/>
    </row>
    <row r="47" spans="1:14">
      <c r="A47" s="264" t="s">
        <v>91</v>
      </c>
      <c r="B47" s="18">
        <f>SUM(B39:B41)-B38</f>
        <v>0</v>
      </c>
      <c r="C47" s="18">
        <f t="shared" ref="C47:I47" si="7">SUM(C39:C41)-C38</f>
        <v>0</v>
      </c>
      <c r="D47" s="18">
        <f t="shared" si="7"/>
        <v>0</v>
      </c>
      <c r="E47" s="18">
        <f t="shared" si="7"/>
        <v>0</v>
      </c>
      <c r="F47" s="18">
        <f t="shared" si="7"/>
        <v>0</v>
      </c>
      <c r="G47" s="18">
        <f t="shared" si="7"/>
        <v>0</v>
      </c>
      <c r="H47" s="18">
        <f t="shared" si="7"/>
        <v>0</v>
      </c>
      <c r="I47" s="18">
        <f t="shared" si="7"/>
        <v>0</v>
      </c>
    </row>
    <row r="48" spans="1:14">
      <c r="A48" s="21"/>
    </row>
    <row r="49" spans="1:9">
      <c r="A49" s="21"/>
    </row>
    <row r="50" spans="1:9">
      <c r="A50" s="21"/>
      <c r="B50" s="301"/>
      <c r="C50" s="301"/>
      <c r="D50" s="301"/>
      <c r="E50" s="301"/>
      <c r="F50" s="301"/>
      <c r="G50" s="301"/>
      <c r="H50" s="301"/>
      <c r="I50" s="301"/>
    </row>
    <row r="51" spans="1:9">
      <c r="A51" s="21"/>
      <c r="B51" s="31"/>
      <c r="C51" s="31"/>
      <c r="D51" s="31"/>
      <c r="E51" s="31"/>
      <c r="F51" s="31"/>
      <c r="G51" s="31"/>
      <c r="H51" s="31"/>
      <c r="I51" s="31"/>
    </row>
    <row r="52" spans="1:9">
      <c r="A52" s="21"/>
    </row>
    <row r="53" spans="1:9">
      <c r="A53" s="21"/>
    </row>
    <row r="54" spans="1:9">
      <c r="A54" s="21"/>
    </row>
    <row r="55" spans="1:9">
      <c r="A55" s="21"/>
    </row>
    <row r="56" spans="1:9">
      <c r="A56" s="21"/>
    </row>
    <row r="57" spans="1:9">
      <c r="A57" s="21"/>
    </row>
    <row r="58" spans="1:9">
      <c r="A58" s="21"/>
    </row>
    <row r="59" spans="1:9">
      <c r="A59" s="21"/>
    </row>
    <row r="60" spans="1:9">
      <c r="A60" s="21"/>
    </row>
    <row r="61" spans="1:9">
      <c r="A61" s="21"/>
    </row>
    <row r="62" spans="1:9">
      <c r="A62" s="21"/>
    </row>
    <row r="63" spans="1:9">
      <c r="A63" s="21"/>
    </row>
    <row r="64" spans="1:9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</sheetData>
  <mergeCells count="2">
    <mergeCell ref="A1:I1"/>
    <mergeCell ref="B2:F2"/>
  </mergeCells>
  <printOptions horizontalCentered="1"/>
  <pageMargins left="0.75" right="0.75" top="1" bottom="1" header="0.5" footer="0.5"/>
  <pageSetup scale="74" orientation="portrait" r:id="rId1"/>
  <headerFooter alignWithMargins="0">
    <oddFooter>&amp;L&amp;F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9" tint="-0.499984740745262"/>
    <pageSetUpPr fitToPage="1"/>
  </sheetPr>
  <dimension ref="A1:AG100"/>
  <sheetViews>
    <sheetView zoomScale="85" zoomScaleNormal="85" workbookViewId="0">
      <selection activeCell="V84" sqref="V84"/>
    </sheetView>
  </sheetViews>
  <sheetFormatPr defaultRowHeight="12.75"/>
  <cols>
    <col min="1" max="1" width="18.28515625" customWidth="1"/>
    <col min="2" max="2" width="12" style="50" hidden="1" customWidth="1"/>
    <col min="3" max="3" width="15.5703125" style="50" hidden="1" customWidth="1"/>
    <col min="4" max="6" width="12" style="50" hidden="1" customWidth="1"/>
    <col min="7" max="7" width="1.5703125" style="145" customWidth="1"/>
    <col min="8" max="17" width="14.28515625" style="50" customWidth="1"/>
    <col min="18" max="18" width="14" style="50" customWidth="1"/>
    <col min="19" max="19" width="1.85546875" style="145" customWidth="1"/>
    <col min="20" max="20" width="13.85546875" style="50" hidden="1" customWidth="1"/>
    <col min="21" max="21" width="10.5703125" bestFit="1" customWidth="1"/>
    <col min="22" max="22" width="13.28515625" bestFit="1" customWidth="1"/>
    <col min="23" max="23" width="10.5703125" bestFit="1" customWidth="1"/>
    <col min="24" max="24" width="9.5703125" bestFit="1" customWidth="1"/>
    <col min="25" max="25" width="9.28515625" bestFit="1" customWidth="1"/>
    <col min="26" max="26" width="11.5703125" bestFit="1" customWidth="1"/>
    <col min="27" max="27" width="9.5703125" bestFit="1" customWidth="1"/>
    <col min="28" max="28" width="10.5703125" bestFit="1" customWidth="1"/>
    <col min="29" max="29" width="9.28515625" bestFit="1" customWidth="1"/>
    <col min="30" max="30" width="9.5703125" bestFit="1" customWidth="1"/>
    <col min="31" max="31" width="13.140625" bestFit="1" customWidth="1"/>
    <col min="32" max="32" width="10.5703125" bestFit="1" customWidth="1"/>
  </cols>
  <sheetData>
    <row r="1" spans="1:33" ht="13.5" thickBot="1">
      <c r="B1" s="142"/>
      <c r="C1" s="737" t="s">
        <v>90</v>
      </c>
      <c r="D1" s="737"/>
      <c r="E1" s="737"/>
      <c r="F1" s="737"/>
      <c r="G1" s="23"/>
      <c r="H1" s="738" t="s">
        <v>178</v>
      </c>
      <c r="I1" s="739"/>
      <c r="J1" s="739"/>
      <c r="K1" s="739"/>
      <c r="L1" s="739"/>
      <c r="M1" s="739"/>
      <c r="N1" s="739"/>
      <c r="O1" s="739"/>
      <c r="P1" s="739"/>
      <c r="Q1" s="739"/>
      <c r="R1" s="740"/>
      <c r="U1" s="278" t="s">
        <v>91</v>
      </c>
      <c r="V1" s="46" t="s">
        <v>169</v>
      </c>
    </row>
    <row r="2" spans="1:33" ht="39" thickBot="1">
      <c r="B2" s="143" t="s">
        <v>89</v>
      </c>
      <c r="C2" s="313" t="s">
        <v>64</v>
      </c>
      <c r="D2" s="313" t="s">
        <v>70</v>
      </c>
      <c r="E2" s="313" t="s">
        <v>71</v>
      </c>
      <c r="F2" s="313" t="s">
        <v>74</v>
      </c>
      <c r="G2" s="23"/>
      <c r="H2" s="157" t="s">
        <v>28</v>
      </c>
      <c r="I2" s="157"/>
      <c r="J2" s="157"/>
      <c r="K2" s="157"/>
      <c r="L2" s="157"/>
      <c r="M2" s="157"/>
      <c r="N2" s="157"/>
      <c r="O2" s="157"/>
      <c r="P2" s="157"/>
      <c r="Q2" s="157"/>
      <c r="R2" s="461" t="s">
        <v>214</v>
      </c>
      <c r="V2" s="517" t="s">
        <v>28</v>
      </c>
      <c r="W2" s="518" t="s">
        <v>29</v>
      </c>
      <c r="X2" s="518" t="s">
        <v>30</v>
      </c>
      <c r="Y2" s="518" t="s">
        <v>31</v>
      </c>
      <c r="Z2" s="519" t="s">
        <v>69</v>
      </c>
      <c r="AA2" s="520" t="s">
        <v>67</v>
      </c>
      <c r="AB2" s="520" t="s">
        <v>327</v>
      </c>
      <c r="AC2" s="520" t="s">
        <v>68</v>
      </c>
      <c r="AD2" s="520" t="s">
        <v>94</v>
      </c>
      <c r="AE2" s="520" t="s">
        <v>93</v>
      </c>
      <c r="AF2" s="521" t="s">
        <v>2</v>
      </c>
    </row>
    <row r="3" spans="1:33" ht="13.5" thickBot="1">
      <c r="A3" s="46" t="s">
        <v>2</v>
      </c>
      <c r="H3" s="317">
        <f>'Resid Cust Cost Summary'!B36</f>
        <v>239.69597008561533</v>
      </c>
      <c r="I3" s="317"/>
      <c r="J3" s="317"/>
      <c r="K3" s="317"/>
      <c r="L3" s="317"/>
      <c r="M3" s="317"/>
      <c r="N3" s="317"/>
      <c r="O3" s="317"/>
      <c r="P3" s="317"/>
      <c r="Q3" s="317"/>
      <c r="R3" s="317">
        <f>(H3*V3+I3*W3+J3*X3+K3*Y3+L3*Z3+M3*AA3+N3*AB3+O3*AC3+P3*AD3+Q3*AE3)/AF3</f>
        <v>239.69597008561533</v>
      </c>
      <c r="U3" s="528">
        <f>R3-'Resid Cust Cost Summary'!L36</f>
        <v>0</v>
      </c>
      <c r="V3" s="515">
        <f>'Resid Cust Fcst '!H40</f>
        <v>1</v>
      </c>
      <c r="W3" s="427">
        <f>'Resid Cust Fcst '!O40</f>
        <v>0</v>
      </c>
      <c r="X3" s="427">
        <f>'Resid Cust Fcst '!V40</f>
        <v>0</v>
      </c>
      <c r="Y3" s="427">
        <f>'Resid Cust Fcst '!AC40</f>
        <v>0</v>
      </c>
      <c r="Z3" s="427">
        <f>'Resid Cust Fcst '!AJ40</f>
        <v>0</v>
      </c>
      <c r="AA3" s="427">
        <f>'Resid Cust Fcst '!AQ40</f>
        <v>0</v>
      </c>
      <c r="AB3" s="28">
        <f>'Resid Cust Fcst '!AX40</f>
        <v>0</v>
      </c>
      <c r="AC3" s="427">
        <f>'Resid Cust Fcst '!BE40</f>
        <v>0</v>
      </c>
      <c r="AD3" s="427">
        <f>'Resid Cust Fcst '!BL40</f>
        <v>0</v>
      </c>
      <c r="AE3" s="427">
        <f>'Resid Cust Fcst '!BS40</f>
        <v>0</v>
      </c>
      <c r="AF3" s="516">
        <f>SUM(V3:AE3)</f>
        <v>1</v>
      </c>
      <c r="AG3" s="398"/>
    </row>
    <row r="4" spans="1:33"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U4" s="304"/>
      <c r="V4" s="50"/>
      <c r="W4" s="50"/>
      <c r="X4" s="50"/>
      <c r="Y4" s="50"/>
      <c r="Z4" s="50"/>
      <c r="AA4" s="50"/>
      <c r="AB4" s="50"/>
      <c r="AC4" s="50"/>
      <c r="AD4" s="50"/>
      <c r="AE4" s="50"/>
    </row>
    <row r="5" spans="1:33" ht="13.5" thickBot="1">
      <c r="H5" s="317"/>
      <c r="I5" s="317"/>
      <c r="J5" s="317"/>
      <c r="K5" s="317"/>
      <c r="L5" s="317"/>
      <c r="M5" s="317"/>
      <c r="N5" s="317"/>
      <c r="O5" s="317"/>
      <c r="P5" s="317"/>
      <c r="Q5" s="317"/>
      <c r="R5" s="317"/>
      <c r="U5" s="304"/>
      <c r="V5" s="50"/>
      <c r="W5" s="50"/>
      <c r="X5" s="50"/>
      <c r="Y5" s="50"/>
      <c r="Z5" s="50"/>
      <c r="AA5" s="50"/>
      <c r="AB5" s="50"/>
      <c r="AC5" s="50"/>
      <c r="AD5" s="50"/>
      <c r="AE5" s="50"/>
    </row>
    <row r="6" spans="1:33" ht="13.5" thickBot="1">
      <c r="B6" s="142"/>
      <c r="C6" s="737" t="s">
        <v>90</v>
      </c>
      <c r="D6" s="737"/>
      <c r="E6" s="737"/>
      <c r="F6" s="737"/>
      <c r="G6" s="23"/>
      <c r="H6" s="732" t="s">
        <v>77</v>
      </c>
      <c r="I6" s="733"/>
      <c r="J6" s="733"/>
      <c r="K6" s="733"/>
      <c r="L6" s="733"/>
      <c r="M6" s="733"/>
      <c r="N6" s="733"/>
      <c r="O6" s="733"/>
      <c r="P6" s="733"/>
      <c r="Q6" s="733"/>
      <c r="R6" s="734"/>
      <c r="U6" s="304"/>
      <c r="V6" s="314" t="s">
        <v>169</v>
      </c>
      <c r="W6" s="50"/>
      <c r="X6" s="50"/>
      <c r="Y6" s="50"/>
      <c r="Z6" s="50"/>
      <c r="AA6" s="50"/>
      <c r="AB6" s="50"/>
      <c r="AC6" s="50"/>
      <c r="AD6" s="50"/>
      <c r="AE6" s="50"/>
    </row>
    <row r="7" spans="1:33" ht="39" thickBot="1">
      <c r="B7" s="143" t="s">
        <v>89</v>
      </c>
      <c r="C7" s="300" t="s">
        <v>64</v>
      </c>
      <c r="D7" s="300" t="s">
        <v>70</v>
      </c>
      <c r="E7" s="300" t="s">
        <v>71</v>
      </c>
      <c r="F7" s="300" t="s">
        <v>74</v>
      </c>
      <c r="G7" s="23"/>
      <c r="H7" s="318" t="s">
        <v>358</v>
      </c>
      <c r="I7" s="318"/>
      <c r="J7" s="318" t="s">
        <v>71</v>
      </c>
      <c r="K7" s="318"/>
      <c r="L7" s="318"/>
      <c r="M7" s="318"/>
      <c r="N7" s="318"/>
      <c r="O7" s="318"/>
      <c r="P7" s="318"/>
      <c r="Q7" s="318"/>
      <c r="R7" s="462" t="s">
        <v>214</v>
      </c>
      <c r="U7" s="304"/>
      <c r="V7" s="506" t="s">
        <v>358</v>
      </c>
      <c r="W7" s="507" t="s">
        <v>70</v>
      </c>
      <c r="X7" s="507" t="s">
        <v>71</v>
      </c>
      <c r="Y7" s="507" t="s">
        <v>74</v>
      </c>
      <c r="Z7" s="508" t="s">
        <v>2</v>
      </c>
      <c r="AB7" s="50"/>
      <c r="AC7" s="50"/>
      <c r="AD7" s="50"/>
      <c r="AE7" s="50"/>
    </row>
    <row r="8" spans="1:33">
      <c r="B8" s="339"/>
      <c r="C8" s="340"/>
      <c r="D8" s="340"/>
      <c r="E8" s="340"/>
      <c r="F8" s="340"/>
      <c r="G8" s="23"/>
      <c r="I8" s="342"/>
      <c r="J8" s="342"/>
      <c r="K8" s="342"/>
      <c r="L8" s="342"/>
      <c r="M8" s="342"/>
      <c r="N8" s="342"/>
      <c r="O8" s="342"/>
      <c r="P8" s="342"/>
      <c r="Q8" s="342"/>
      <c r="R8" s="343"/>
      <c r="U8" s="304"/>
      <c r="V8" s="11"/>
      <c r="W8" s="341"/>
      <c r="X8" s="341"/>
      <c r="Y8" s="341"/>
      <c r="Z8" s="510"/>
      <c r="AB8" s="50"/>
      <c r="AC8" s="50"/>
      <c r="AD8" s="50"/>
      <c r="AE8" s="50"/>
    </row>
    <row r="9" spans="1:33">
      <c r="A9" s="46" t="s">
        <v>0</v>
      </c>
      <c r="I9" s="317"/>
      <c r="J9" s="317"/>
      <c r="K9" s="317"/>
      <c r="L9" s="317"/>
      <c r="M9" s="317"/>
      <c r="N9" s="317"/>
      <c r="O9" s="317"/>
      <c r="P9" s="317"/>
      <c r="Q9" s="317"/>
      <c r="R9" s="317"/>
      <c r="U9" s="304"/>
      <c r="V9" s="11"/>
      <c r="W9" s="315"/>
      <c r="X9" s="315"/>
      <c r="Y9" s="315"/>
      <c r="Z9" s="512"/>
      <c r="AB9" s="50"/>
      <c r="AC9" s="50"/>
      <c r="AD9" s="50"/>
      <c r="AE9" s="50"/>
    </row>
    <row r="10" spans="1:33">
      <c r="A10" s="299" t="s">
        <v>171</v>
      </c>
      <c r="B10" s="50" t="e">
        <f>'Marg Cust Cost Summary'!#REF!*'Resid Cust Fcst '!BY12</f>
        <v>#REF!</v>
      </c>
      <c r="C10" s="50" t="e">
        <f>'Marg Cust Cost Summary'!#REF!*'Sm Comm Cust Fcst'!#REF!</f>
        <v>#REF!</v>
      </c>
      <c r="D10" s="50" t="e">
        <f>'Marg Cust Cost Summary'!C6*'Sm Comm Cust Fcst'!#REF!</f>
        <v>#REF!</v>
      </c>
      <c r="E10" s="50" t="e">
        <f>'Marg Cust Cost Summary'!C8*'Sm Comm Cust Fcst'!#REF!</f>
        <v>#VALUE!</v>
      </c>
      <c r="F10" s="50" t="e">
        <f>'Marg Cust Cost Summary'!#REF!*'Sm Comm Cust Fcst'!#REF!</f>
        <v>#REF!</v>
      </c>
      <c r="H10" s="317">
        <f>'Sch TOU-A Cust Cost Summary'!B37</f>
        <v>293.56021934226936</v>
      </c>
      <c r="I10" s="317"/>
      <c r="J10" s="317">
        <f>'Sch A-TOU Cust Cost Summary'!B37</f>
        <v>0</v>
      </c>
      <c r="K10" s="317"/>
      <c r="L10" s="317"/>
      <c r="M10" s="317"/>
      <c r="N10" s="317"/>
      <c r="O10" s="317"/>
      <c r="P10" s="317"/>
      <c r="Q10" s="317"/>
      <c r="R10" s="317">
        <f>(H10*V10+I10*W10+J10*X10+K10*Y10)/Z10</f>
        <v>293.56021934226936</v>
      </c>
      <c r="U10" s="554">
        <f>R10-'Small Comm Cust Cost Summary'!B36</f>
        <v>0</v>
      </c>
      <c r="V10" s="511">
        <f>'Sm Comm Cust Fcst'!F42</f>
        <v>154</v>
      </c>
      <c r="W10" s="315">
        <f>'Sm Comm Cust Fcst'!M42</f>
        <v>0</v>
      </c>
      <c r="X10" s="315">
        <f>'Sm Comm Cust Fcst'!T42</f>
        <v>0</v>
      </c>
      <c r="Y10" s="315">
        <f>'Sm Comm Cust Fcst'!AA42</f>
        <v>0</v>
      </c>
      <c r="Z10" s="512">
        <f>SUM(V10:Y10)</f>
        <v>154</v>
      </c>
      <c r="AB10" s="50"/>
      <c r="AC10" s="50"/>
      <c r="AD10" s="50"/>
      <c r="AE10" s="50"/>
      <c r="AG10" s="398"/>
    </row>
    <row r="11" spans="1:33">
      <c r="A11" s="299" t="s">
        <v>170</v>
      </c>
      <c r="H11" s="317">
        <f>'Sch TOU-A Cust Cost Summary'!C37</f>
        <v>438.77691890422028</v>
      </c>
      <c r="I11" s="317"/>
      <c r="J11" s="317">
        <f>'Sch A-TOU Cust Cost Summary'!C37</f>
        <v>0</v>
      </c>
      <c r="K11" s="317"/>
      <c r="L11" s="317"/>
      <c r="M11" s="317"/>
      <c r="N11" s="317"/>
      <c r="O11" s="317"/>
      <c r="P11" s="317"/>
      <c r="Q11" s="317"/>
      <c r="R11" s="317">
        <f>(H11*V11+I11*W11+J11*X11+K11*Y11)/Z11</f>
        <v>438.77691890422028</v>
      </c>
      <c r="U11" s="555">
        <f>R11-'Small Comm Cust Cost Summary'!C36</f>
        <v>0</v>
      </c>
      <c r="V11" s="511">
        <f>'Sm Comm Cust Fcst'!F43</f>
        <v>352</v>
      </c>
      <c r="W11" s="315">
        <f>'Sm Comm Cust Fcst'!M43</f>
        <v>0</v>
      </c>
      <c r="X11" s="315">
        <f>'Sm Comm Cust Fcst'!T43</f>
        <v>0</v>
      </c>
      <c r="Y11" s="315">
        <f>'Sm Comm Cust Fcst'!AA43</f>
        <v>0</v>
      </c>
      <c r="Z11" s="512">
        <f>SUM(V11:Y11)</f>
        <v>352</v>
      </c>
      <c r="AB11" s="50"/>
      <c r="AC11" s="50"/>
      <c r="AD11" s="50"/>
      <c r="AE11" s="50"/>
      <c r="AG11" s="398"/>
    </row>
    <row r="12" spans="1:33">
      <c r="A12" s="299" t="s">
        <v>172</v>
      </c>
      <c r="H12" s="317">
        <f>'Sch TOU-A Cust Cost Summary'!D37</f>
        <v>888.84408172512724</v>
      </c>
      <c r="I12" s="317"/>
      <c r="J12" s="317">
        <f>'Sch A-TOU Cust Cost Summary'!D37</f>
        <v>1235.7356323416034</v>
      </c>
      <c r="K12" s="317"/>
      <c r="L12" s="317"/>
      <c r="M12" s="317"/>
      <c r="N12" s="317"/>
      <c r="O12" s="317"/>
      <c r="P12" s="317"/>
      <c r="Q12" s="317"/>
      <c r="R12" s="317">
        <f>(H12*V12+I12*W12+J12*X12+K12*Y12)/Z12</f>
        <v>894.67419181952175</v>
      </c>
      <c r="U12" s="555">
        <f>R12-'Small Comm Cust Cost Summary'!D36</f>
        <v>0</v>
      </c>
      <c r="V12" s="511">
        <f>'Sm Comm Cust Fcst'!F44</f>
        <v>117</v>
      </c>
      <c r="W12" s="315">
        <f>'Sm Comm Cust Fcst'!M44</f>
        <v>0</v>
      </c>
      <c r="X12" s="315">
        <f>'Sm Comm Cust Fcst'!T44</f>
        <v>2</v>
      </c>
      <c r="Y12" s="315">
        <f>'Sm Comm Cust Fcst'!AA44</f>
        <v>0</v>
      </c>
      <c r="Z12" s="512">
        <f>SUM(V12:Y12)</f>
        <v>119</v>
      </c>
      <c r="AB12" s="50"/>
      <c r="AC12" s="50"/>
      <c r="AD12" s="50"/>
      <c r="AE12" s="50"/>
      <c r="AG12" s="398"/>
    </row>
    <row r="13" spans="1:33" ht="15">
      <c r="A13" s="299" t="s">
        <v>173</v>
      </c>
      <c r="H13" s="317">
        <f>'Sch TOU-A Cust Cost Summary'!E37</f>
        <v>1438.7426968234329</v>
      </c>
      <c r="I13" s="317"/>
      <c r="J13" s="317">
        <f>'Sch A-TOU Cust Cost Summary'!E37</f>
        <v>0</v>
      </c>
      <c r="K13" s="317"/>
      <c r="L13" s="317"/>
      <c r="M13" s="317"/>
      <c r="N13" s="317"/>
      <c r="O13" s="317"/>
      <c r="P13" s="317"/>
      <c r="Q13" s="317"/>
      <c r="R13" s="317">
        <f>(H13*V13+I13*W13+J13*X13+K13*Y13)/Z13</f>
        <v>1438.7426968234329</v>
      </c>
      <c r="U13" s="555">
        <f>R13-'Small Comm Cust Cost Summary'!E36</f>
        <v>0</v>
      </c>
      <c r="V13" s="513">
        <f>'Sm Comm Cust Fcst'!F45</f>
        <v>19</v>
      </c>
      <c r="W13" s="316">
        <f>'Sm Comm Cust Fcst'!M45</f>
        <v>0</v>
      </c>
      <c r="X13" s="316">
        <f>'Sm Comm Cust Fcst'!T45</f>
        <v>0</v>
      </c>
      <c r="Y13" s="323">
        <f>'Sm Comm Cust Fcst'!AA45</f>
        <v>0</v>
      </c>
      <c r="Z13" s="514">
        <f>SUM(V13:Y13)</f>
        <v>19</v>
      </c>
      <c r="AB13" s="50"/>
      <c r="AC13" s="50"/>
      <c r="AD13" s="50"/>
      <c r="AE13" s="50"/>
      <c r="AG13" s="398"/>
    </row>
    <row r="14" spans="1:33" ht="13.5" thickBot="1">
      <c r="B14" s="140" t="e">
        <f>SUM(B10:B12)</f>
        <v>#REF!</v>
      </c>
      <c r="C14" s="140" t="e">
        <f>SUM(C10:C12)</f>
        <v>#REF!</v>
      </c>
      <c r="D14" s="140" t="e">
        <f>SUM(D10:D12)</f>
        <v>#REF!</v>
      </c>
      <c r="E14" s="140" t="e">
        <f>SUM(E10:E12)</f>
        <v>#VALUE!</v>
      </c>
      <c r="F14" s="140" t="e">
        <f>SUM(F10:F12)</f>
        <v>#REF!</v>
      </c>
      <c r="G14" s="146"/>
      <c r="H14" s="320">
        <f>'Sch TOU-A Cust Cost Summary'!F37</f>
        <v>515.5585950692838</v>
      </c>
      <c r="I14" s="320"/>
      <c r="J14" s="320">
        <f>'Sch A-TOU Cust Cost Summary'!F37</f>
        <v>1235.7356323416034</v>
      </c>
      <c r="K14" s="320"/>
      <c r="L14" s="320"/>
      <c r="M14" s="320"/>
      <c r="N14" s="320"/>
      <c r="O14" s="320"/>
      <c r="P14" s="320"/>
      <c r="Q14" s="320"/>
      <c r="R14" s="321">
        <f>(H14*V14+I14*W14+J14*X14+K14*Y14)/Z14</f>
        <v>517.79516971919793</v>
      </c>
      <c r="U14" s="555">
        <f>R14-'Small Comm Cust Cost Summary'!F36</f>
        <v>0</v>
      </c>
      <c r="V14" s="511">
        <f>'Sm Comm Cust Fcst'!F41</f>
        <v>642</v>
      </c>
      <c r="W14" s="315">
        <f>'Sm Comm Cust Fcst'!M41</f>
        <v>0</v>
      </c>
      <c r="X14" s="315">
        <f>'Sm Comm Cust Fcst'!T41</f>
        <v>2</v>
      </c>
      <c r="Y14" s="315">
        <f>'Sm Comm Cust Fcst'!AA41</f>
        <v>0</v>
      </c>
      <c r="Z14" s="512">
        <f>SUM(V14:Y14)</f>
        <v>644</v>
      </c>
      <c r="AB14" s="50"/>
      <c r="AC14" s="50"/>
      <c r="AD14" s="50"/>
      <c r="AE14" s="50"/>
      <c r="AG14" s="398"/>
    </row>
    <row r="15" spans="1:33" ht="13.5" thickTop="1">
      <c r="A15" s="46" t="s">
        <v>1</v>
      </c>
      <c r="I15" s="317"/>
      <c r="J15" s="317"/>
      <c r="K15" s="317"/>
      <c r="L15" s="317"/>
      <c r="M15" s="317"/>
      <c r="N15" s="317"/>
      <c r="O15" s="317"/>
      <c r="P15" s="317"/>
      <c r="Q15" s="317"/>
      <c r="R15" s="317"/>
      <c r="U15" s="555"/>
      <c r="V15" s="511"/>
      <c r="W15" s="315"/>
      <c r="X15" s="315"/>
      <c r="Y15" s="315"/>
      <c r="Z15" s="512"/>
      <c r="AB15" s="50"/>
      <c r="AC15" s="50"/>
      <c r="AD15" s="50"/>
      <c r="AE15" s="50"/>
      <c r="AG15" s="398"/>
    </row>
    <row r="16" spans="1:33">
      <c r="A16" s="299" t="s">
        <v>171</v>
      </c>
      <c r="H16" s="317"/>
      <c r="I16" s="317"/>
      <c r="J16" s="317"/>
      <c r="K16" s="317"/>
      <c r="L16" s="317"/>
      <c r="M16" s="317"/>
      <c r="N16" s="317"/>
      <c r="O16" s="317"/>
      <c r="P16" s="317"/>
      <c r="Q16" s="317"/>
      <c r="R16" s="317"/>
      <c r="U16" s="555"/>
      <c r="V16" s="511">
        <f>'Sm Comm Cust Fcst'!G42</f>
        <v>0</v>
      </c>
      <c r="W16" s="315"/>
      <c r="X16" s="315"/>
      <c r="Y16" s="315"/>
      <c r="Z16" s="512">
        <f>SUM(V16:Y16)</f>
        <v>0</v>
      </c>
      <c r="AB16" s="50"/>
      <c r="AC16" s="50"/>
      <c r="AD16" s="50"/>
      <c r="AE16" s="50"/>
      <c r="AG16" s="398"/>
    </row>
    <row r="17" spans="1:33">
      <c r="A17" s="299" t="s">
        <v>170</v>
      </c>
      <c r="H17" s="317"/>
      <c r="I17" s="317"/>
      <c r="J17" s="317"/>
      <c r="K17" s="317"/>
      <c r="L17" s="317"/>
      <c r="M17" s="317"/>
      <c r="N17" s="317"/>
      <c r="O17" s="317"/>
      <c r="P17" s="317"/>
      <c r="Q17" s="317"/>
      <c r="R17" s="317"/>
      <c r="U17" s="555"/>
      <c r="V17" s="511">
        <f>'Sm Comm Cust Fcst'!G43</f>
        <v>0</v>
      </c>
      <c r="W17" s="315"/>
      <c r="X17" s="315"/>
      <c r="Y17" s="315"/>
      <c r="Z17" s="512">
        <f>SUM(V17:Y17)</f>
        <v>0</v>
      </c>
      <c r="AB17" s="50"/>
      <c r="AC17" s="50"/>
      <c r="AD17" s="50"/>
      <c r="AE17" s="50"/>
      <c r="AG17" s="398"/>
    </row>
    <row r="18" spans="1:33">
      <c r="A18" s="299" t="s">
        <v>172</v>
      </c>
      <c r="H18" s="317"/>
      <c r="I18" s="317"/>
      <c r="J18" s="317"/>
      <c r="K18" s="317"/>
      <c r="L18" s="317"/>
      <c r="M18" s="317"/>
      <c r="N18" s="317"/>
      <c r="O18" s="317"/>
      <c r="P18" s="317"/>
      <c r="Q18" s="317"/>
      <c r="R18" s="317"/>
      <c r="U18" s="555"/>
      <c r="V18" s="511">
        <f>'Sm Comm Cust Fcst'!G44</f>
        <v>0</v>
      </c>
      <c r="W18" s="315"/>
      <c r="X18" s="315"/>
      <c r="Y18" s="315"/>
      <c r="Z18" s="512">
        <f>SUM(V18:Y18)</f>
        <v>0</v>
      </c>
      <c r="AB18" s="50"/>
      <c r="AC18" s="50"/>
      <c r="AD18" s="50"/>
      <c r="AE18" s="50"/>
      <c r="AG18" s="398"/>
    </row>
    <row r="19" spans="1:33">
      <c r="A19" s="299" t="s">
        <v>173</v>
      </c>
      <c r="H19" s="317"/>
      <c r="I19" s="317"/>
      <c r="J19" s="317"/>
      <c r="K19" s="317"/>
      <c r="L19" s="317"/>
      <c r="M19" s="317"/>
      <c r="N19" s="317"/>
      <c r="O19" s="317"/>
      <c r="P19" s="317"/>
      <c r="Q19" s="317"/>
      <c r="R19" s="317"/>
      <c r="U19" s="555"/>
      <c r="V19" s="513">
        <f>'Sm Comm Cust Fcst'!G45</f>
        <v>0</v>
      </c>
      <c r="W19" s="315"/>
      <c r="X19" s="315"/>
      <c r="Y19" s="315"/>
      <c r="Z19" s="514">
        <f>SUM(V19:Y19)</f>
        <v>0</v>
      </c>
      <c r="AB19" s="50"/>
      <c r="AC19" s="50"/>
      <c r="AD19" s="50"/>
      <c r="AE19" s="50"/>
      <c r="AG19" s="398"/>
    </row>
    <row r="20" spans="1:33" ht="13.5" thickBot="1">
      <c r="A20" s="139"/>
      <c r="B20" s="140">
        <f>SUM(B16:B18)</f>
        <v>0</v>
      </c>
      <c r="C20" s="140">
        <f>SUM(C16:C18)</f>
        <v>0</v>
      </c>
      <c r="D20" s="140">
        <f>SUM(D16:D18)</f>
        <v>0</v>
      </c>
      <c r="E20" s="140">
        <f>SUM(E16:E18)</f>
        <v>0</v>
      </c>
      <c r="F20" s="140">
        <f>SUM(F16:F18)</f>
        <v>0</v>
      </c>
      <c r="G20" s="146"/>
      <c r="H20" s="320"/>
      <c r="I20" s="320"/>
      <c r="J20" s="320"/>
      <c r="K20" s="320"/>
      <c r="L20" s="320"/>
      <c r="M20" s="320"/>
      <c r="N20" s="320"/>
      <c r="O20" s="320"/>
      <c r="P20" s="320"/>
      <c r="Q20" s="320"/>
      <c r="R20" s="321"/>
      <c r="U20" s="555"/>
      <c r="V20" s="511">
        <f>'Sm Comm Cust Fcst'!G41</f>
        <v>0</v>
      </c>
      <c r="W20" s="315"/>
      <c r="X20" s="315"/>
      <c r="Y20" s="315"/>
      <c r="Z20" s="512">
        <f>SUM(V20:Y20)</f>
        <v>0</v>
      </c>
      <c r="AB20" s="50"/>
      <c r="AC20" s="50"/>
      <c r="AD20" s="50"/>
      <c r="AE20" s="50"/>
      <c r="AG20" s="398"/>
    </row>
    <row r="21" spans="1:33" ht="13.5" thickTop="1">
      <c r="I21" s="317"/>
      <c r="J21" s="317"/>
      <c r="K21" s="317"/>
      <c r="L21" s="317"/>
      <c r="M21" s="317"/>
      <c r="N21" s="317"/>
      <c r="O21" s="317"/>
      <c r="P21" s="317"/>
      <c r="Q21" s="317"/>
      <c r="R21" s="317"/>
      <c r="U21" s="376"/>
      <c r="V21" s="511"/>
      <c r="W21" s="315"/>
      <c r="X21" s="315"/>
      <c r="Y21" s="315"/>
      <c r="Z21" s="512"/>
      <c r="AB21" s="50"/>
      <c r="AC21" s="50"/>
      <c r="AD21" s="50"/>
      <c r="AE21" s="50"/>
      <c r="AG21" s="398"/>
    </row>
    <row r="22" spans="1:33">
      <c r="A22" s="46" t="s">
        <v>2</v>
      </c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U22" s="376"/>
      <c r="V22" s="511"/>
      <c r="W22" s="315"/>
      <c r="X22" s="315"/>
      <c r="Y22" s="315"/>
      <c r="Z22" s="512"/>
      <c r="AB22" s="50"/>
      <c r="AC22" s="50"/>
      <c r="AD22" s="50"/>
      <c r="AE22" s="50"/>
      <c r="AG22" s="398"/>
    </row>
    <row r="23" spans="1:33">
      <c r="A23" s="299" t="s">
        <v>171</v>
      </c>
      <c r="B23" s="50" t="e">
        <f>'Marg Cust Cost Summary'!#REF!*'Resid Cust Fcst '!BY19</f>
        <v>#REF!</v>
      </c>
      <c r="C23" s="50" t="e">
        <f>'Marg Cust Cost Summary'!#REF!*'Sm Comm Cust Fcst'!#REF!</f>
        <v>#REF!</v>
      </c>
      <c r="D23" s="50" t="e">
        <f>'Marg Cust Cost Summary'!C12*'Sm Comm Cust Fcst'!#REF!</f>
        <v>#REF!</v>
      </c>
      <c r="E23" s="50" t="e">
        <f>'Marg Cust Cost Summary'!C15*'Sm Comm Cust Fcst'!#REF!</f>
        <v>#REF!</v>
      </c>
      <c r="F23" s="50" t="e">
        <f>'Marg Cust Cost Summary'!#REF!*'Sm Comm Cust Fcst'!#REF!</f>
        <v>#REF!</v>
      </c>
      <c r="H23" s="317">
        <f>'Sch TOU-A Cust Cost Summary'!L37</f>
        <v>293.56021934226936</v>
      </c>
      <c r="I23" s="317"/>
      <c r="J23" s="317">
        <f>'Sch A-TOU Cust Cost Summary'!L37</f>
        <v>0</v>
      </c>
      <c r="K23" s="317"/>
      <c r="L23" s="317"/>
      <c r="M23" s="317"/>
      <c r="N23" s="317"/>
      <c r="O23" s="317"/>
      <c r="P23" s="317"/>
      <c r="Q23" s="317"/>
      <c r="R23" s="317">
        <f>(H23*V23+I23*W23+J23*X23+K23*Y23)/Z23</f>
        <v>293.56021934226936</v>
      </c>
      <c r="U23" s="535">
        <f>R23-'Small Comm Cust Cost Summary'!L36</f>
        <v>0</v>
      </c>
      <c r="V23" s="511">
        <f t="shared" ref="V23" si="0">V16+V10</f>
        <v>154</v>
      </c>
      <c r="W23" s="315">
        <f t="shared" ref="W23:Z26" si="1">W16+W10</f>
        <v>0</v>
      </c>
      <c r="X23" s="315">
        <f t="shared" si="1"/>
        <v>0</v>
      </c>
      <c r="Y23" s="315">
        <f t="shared" si="1"/>
        <v>0</v>
      </c>
      <c r="Z23" s="512">
        <f t="shared" si="1"/>
        <v>154</v>
      </c>
      <c r="AB23" s="50"/>
      <c r="AC23" s="50"/>
      <c r="AD23" s="50"/>
      <c r="AE23" s="50"/>
      <c r="AG23" s="398"/>
    </row>
    <row r="24" spans="1:33">
      <c r="A24" s="299" t="s">
        <v>170</v>
      </c>
      <c r="H24" s="317">
        <f>'Sch TOU-A Cust Cost Summary'!M37</f>
        <v>438.77691890422028</v>
      </c>
      <c r="I24" s="317"/>
      <c r="J24" s="317">
        <f>'Sch A-TOU Cust Cost Summary'!M37</f>
        <v>0</v>
      </c>
      <c r="K24" s="317"/>
      <c r="L24" s="317"/>
      <c r="M24" s="317"/>
      <c r="N24" s="317"/>
      <c r="O24" s="317"/>
      <c r="P24" s="317"/>
      <c r="Q24" s="317"/>
      <c r="R24" s="317">
        <f>(H24*V24+I24*W24+J24*X24+K24*Y24)/Z24</f>
        <v>438.77691890422028</v>
      </c>
      <c r="U24" s="535">
        <f>R24-'Small Comm Cust Cost Summary'!M36</f>
        <v>0</v>
      </c>
      <c r="V24" s="511">
        <f t="shared" ref="V24" si="2">V17+V11</f>
        <v>352</v>
      </c>
      <c r="W24" s="315">
        <f t="shared" si="1"/>
        <v>0</v>
      </c>
      <c r="X24" s="315">
        <f t="shared" si="1"/>
        <v>0</v>
      </c>
      <c r="Y24" s="315">
        <f t="shared" si="1"/>
        <v>0</v>
      </c>
      <c r="Z24" s="512">
        <f t="shared" si="1"/>
        <v>352</v>
      </c>
      <c r="AB24" s="50"/>
      <c r="AC24" s="50"/>
      <c r="AD24" s="50"/>
      <c r="AE24" s="50"/>
      <c r="AG24" s="398"/>
    </row>
    <row r="25" spans="1:33">
      <c r="A25" s="299" t="s">
        <v>172</v>
      </c>
      <c r="H25" s="317">
        <f>'Sch TOU-A Cust Cost Summary'!N37</f>
        <v>888.84408172512724</v>
      </c>
      <c r="I25" s="317"/>
      <c r="J25" s="317">
        <f>'Sch A-TOU Cust Cost Summary'!N37</f>
        <v>1235.7356323416034</v>
      </c>
      <c r="K25" s="317"/>
      <c r="L25" s="317"/>
      <c r="M25" s="317"/>
      <c r="N25" s="317"/>
      <c r="O25" s="317"/>
      <c r="P25" s="317"/>
      <c r="Q25" s="317"/>
      <c r="R25" s="317">
        <f>(H25*V25+I25*W25+J25*X25+K25*Y25)/Z25</f>
        <v>894.67419181952175</v>
      </c>
      <c r="U25" s="535">
        <f>R25-'Small Comm Cust Cost Summary'!N36</f>
        <v>0</v>
      </c>
      <c r="V25" s="511">
        <f t="shared" ref="V25" si="3">V18+V12</f>
        <v>117</v>
      </c>
      <c r="W25" s="315">
        <f t="shared" si="1"/>
        <v>0</v>
      </c>
      <c r="X25" s="315">
        <f t="shared" si="1"/>
        <v>2</v>
      </c>
      <c r="Y25" s="315">
        <f t="shared" si="1"/>
        <v>0</v>
      </c>
      <c r="Z25" s="512">
        <f t="shared" si="1"/>
        <v>119</v>
      </c>
      <c r="AB25" s="50"/>
      <c r="AC25" s="50"/>
      <c r="AD25" s="50"/>
      <c r="AE25" s="50"/>
      <c r="AG25" s="398"/>
    </row>
    <row r="26" spans="1:33">
      <c r="A26" s="299" t="s">
        <v>173</v>
      </c>
      <c r="H26" s="317">
        <f>'Sch TOU-A Cust Cost Summary'!O37</f>
        <v>1438.7426968234329</v>
      </c>
      <c r="I26" s="317"/>
      <c r="J26" s="317">
        <f>'Sch A-TOU Cust Cost Summary'!O37</f>
        <v>0</v>
      </c>
      <c r="K26" s="317"/>
      <c r="L26" s="317"/>
      <c r="M26" s="317"/>
      <c r="N26" s="317"/>
      <c r="O26" s="317"/>
      <c r="P26" s="317"/>
      <c r="Q26" s="317"/>
      <c r="R26" s="317">
        <f>(H26*V26+I26*W26+J26*X26+K26*Y26)/Z26</f>
        <v>1438.7426968234329</v>
      </c>
      <c r="U26" s="535">
        <f>R26-'Small Comm Cust Cost Summary'!O36</f>
        <v>0</v>
      </c>
      <c r="V26" s="513">
        <f t="shared" ref="V26" si="4">V19+V13</f>
        <v>19</v>
      </c>
      <c r="W26" s="316">
        <f t="shared" si="1"/>
        <v>0</v>
      </c>
      <c r="X26" s="316">
        <f t="shared" si="1"/>
        <v>0</v>
      </c>
      <c r="Y26" s="316">
        <f t="shared" si="1"/>
        <v>0</v>
      </c>
      <c r="Z26" s="514">
        <f t="shared" si="1"/>
        <v>19</v>
      </c>
      <c r="AB26" s="50"/>
      <c r="AC26" s="50"/>
      <c r="AD26" s="50"/>
      <c r="AE26" s="50"/>
      <c r="AG26" s="398"/>
    </row>
    <row r="27" spans="1:33" ht="13.5" thickBot="1">
      <c r="B27" s="140" t="e">
        <f>SUM(B23:B25)</f>
        <v>#REF!</v>
      </c>
      <c r="C27" s="140" t="e">
        <f>SUM(C23:C25)</f>
        <v>#REF!</v>
      </c>
      <c r="D27" s="140" t="e">
        <f>SUM(D23:D25)</f>
        <v>#REF!</v>
      </c>
      <c r="E27" s="140" t="e">
        <f>SUM(E23:E25)</f>
        <v>#REF!</v>
      </c>
      <c r="F27" s="140" t="e">
        <f>SUM(F23:F25)</f>
        <v>#REF!</v>
      </c>
      <c r="G27" s="146"/>
      <c r="H27" s="320">
        <f>'Sch TOU-A Cust Cost Summary'!P37</f>
        <v>515.5585950692838</v>
      </c>
      <c r="I27" s="320"/>
      <c r="J27" s="320">
        <f>'Sch A-TOU Cust Cost Summary'!P37</f>
        <v>1235.7356323416034</v>
      </c>
      <c r="K27" s="320"/>
      <c r="L27" s="320"/>
      <c r="M27" s="320"/>
      <c r="N27" s="320"/>
      <c r="O27" s="320"/>
      <c r="P27" s="320"/>
      <c r="Q27" s="320"/>
      <c r="R27" s="321">
        <f>(H27*V27+I27*W27+J27*X27+K27*Y27)/Z27</f>
        <v>517.79516971919793</v>
      </c>
      <c r="U27" s="535">
        <f>R27-'Small Comm Cust Cost Summary'!P36</f>
        <v>0</v>
      </c>
      <c r="V27" s="515">
        <f>SUM(V23:V26)</f>
        <v>642</v>
      </c>
      <c r="W27" s="427">
        <f>SUM(W23:W26)</f>
        <v>0</v>
      </c>
      <c r="X27" s="427">
        <f>SUM(X23:X26)</f>
        <v>2</v>
      </c>
      <c r="Y27" s="427">
        <f>SUM(Y23:Y26)</f>
        <v>0</v>
      </c>
      <c r="Z27" s="516">
        <f>SUM(Z23:Z26)</f>
        <v>644</v>
      </c>
      <c r="AB27" s="50"/>
      <c r="AC27" s="50"/>
      <c r="AD27" s="50"/>
      <c r="AE27" s="50"/>
      <c r="AG27" s="398"/>
    </row>
    <row r="28" spans="1:33" ht="13.5" thickTop="1">
      <c r="A28" s="65"/>
      <c r="H28" s="317"/>
      <c r="I28" s="317"/>
      <c r="J28" s="317"/>
      <c r="K28" s="317"/>
      <c r="L28" s="317"/>
      <c r="M28" s="317"/>
      <c r="N28" s="317"/>
      <c r="O28" s="317"/>
      <c r="P28" s="317"/>
      <c r="Q28" s="317"/>
      <c r="R28" s="322"/>
      <c r="U28" s="304"/>
      <c r="V28" s="315"/>
      <c r="W28" s="315"/>
      <c r="X28" s="315"/>
      <c r="Y28" s="315"/>
      <c r="Z28" s="315"/>
      <c r="AA28" s="50"/>
      <c r="AB28" s="50"/>
      <c r="AC28" s="50"/>
      <c r="AD28" s="50"/>
      <c r="AE28" s="50"/>
    </row>
    <row r="29" spans="1:33" ht="13.5" thickBot="1">
      <c r="H29" s="317"/>
      <c r="I29" s="317"/>
      <c r="J29" s="317"/>
      <c r="K29" s="317"/>
      <c r="L29" s="317"/>
      <c r="M29" s="317"/>
      <c r="N29" s="317"/>
      <c r="O29" s="317"/>
      <c r="P29" s="317"/>
      <c r="Q29" s="317"/>
      <c r="R29" s="317"/>
      <c r="U29" s="304"/>
      <c r="V29" s="50"/>
      <c r="W29" s="50"/>
      <c r="X29" s="50"/>
      <c r="Y29" s="50"/>
      <c r="Z29" s="50"/>
      <c r="AA29" s="50"/>
      <c r="AB29" s="50"/>
      <c r="AC29" s="50"/>
      <c r="AD29" s="50"/>
      <c r="AE29" s="50"/>
    </row>
    <row r="30" spans="1:33" ht="21" customHeight="1">
      <c r="B30" s="142"/>
      <c r="C30" s="737" t="s">
        <v>90</v>
      </c>
      <c r="D30" s="737"/>
      <c r="E30" s="737"/>
      <c r="F30" s="737"/>
      <c r="G30" s="23"/>
      <c r="H30" s="732" t="s">
        <v>179</v>
      </c>
      <c r="I30" s="733"/>
      <c r="J30" s="733"/>
      <c r="K30" s="733"/>
      <c r="L30" s="733"/>
      <c r="M30" s="733"/>
      <c r="N30" s="733"/>
      <c r="O30" s="733"/>
      <c r="P30" s="733"/>
      <c r="Q30" s="733"/>
      <c r="R30" s="734"/>
      <c r="S30" s="148"/>
      <c r="T30" s="735" t="s">
        <v>56</v>
      </c>
      <c r="U30" s="304"/>
      <c r="V30" s="50"/>
      <c r="W30" s="50"/>
      <c r="X30" s="50"/>
      <c r="Y30" s="50"/>
      <c r="Z30" s="50"/>
      <c r="AA30" s="50"/>
      <c r="AB30" s="50"/>
      <c r="AC30" s="50"/>
      <c r="AD30" s="50"/>
      <c r="AE30" s="50"/>
    </row>
    <row r="31" spans="1:33" ht="39" thickBot="1">
      <c r="B31" s="143" t="s">
        <v>89</v>
      </c>
      <c r="C31" s="147" t="s">
        <v>64</v>
      </c>
      <c r="D31" s="147" t="s">
        <v>70</v>
      </c>
      <c r="E31" s="147" t="s">
        <v>71</v>
      </c>
      <c r="F31" s="147" t="s">
        <v>74</v>
      </c>
      <c r="G31" s="23"/>
      <c r="H31" s="318" t="s">
        <v>75</v>
      </c>
      <c r="I31" s="318" t="s">
        <v>95</v>
      </c>
      <c r="J31" s="318" t="s">
        <v>55</v>
      </c>
      <c r="K31" s="318" t="s">
        <v>132</v>
      </c>
      <c r="L31" s="318"/>
      <c r="M31" s="318"/>
      <c r="N31" s="318"/>
      <c r="O31" s="318"/>
      <c r="P31" s="318"/>
      <c r="Q31" s="318"/>
      <c r="R31" s="462" t="s">
        <v>214</v>
      </c>
      <c r="S31" s="23"/>
      <c r="T31" s="736"/>
      <c r="U31" s="304"/>
      <c r="V31" s="50"/>
      <c r="W31" s="50"/>
      <c r="X31" s="50"/>
      <c r="Y31" s="50"/>
      <c r="Z31" s="50"/>
      <c r="AA31" s="50"/>
      <c r="AB31" s="50"/>
      <c r="AC31" s="50"/>
      <c r="AD31" s="50"/>
      <c r="AE31" s="50"/>
    </row>
    <row r="32" spans="1:33">
      <c r="B32" s="339"/>
      <c r="C32" s="340"/>
      <c r="D32" s="340"/>
      <c r="E32" s="340"/>
      <c r="F32" s="340"/>
      <c r="G32" s="23"/>
      <c r="H32" s="342"/>
      <c r="I32" s="342"/>
      <c r="J32" s="342"/>
      <c r="K32" s="342"/>
      <c r="L32" s="342"/>
      <c r="M32" s="342"/>
      <c r="N32" s="342"/>
      <c r="O32" s="342"/>
      <c r="P32" s="342"/>
      <c r="Q32" s="342"/>
      <c r="R32" s="343"/>
      <c r="S32" s="23"/>
      <c r="T32" s="340"/>
      <c r="U32" s="304"/>
      <c r="V32" s="506" t="s">
        <v>75</v>
      </c>
      <c r="W32" s="507" t="s">
        <v>166</v>
      </c>
      <c r="X32" s="507" t="s">
        <v>55</v>
      </c>
      <c r="Y32" s="507" t="s">
        <v>132</v>
      </c>
      <c r="Z32" s="508" t="s">
        <v>2</v>
      </c>
      <c r="AB32" s="598"/>
      <c r="AC32" s="50"/>
      <c r="AD32" s="50"/>
      <c r="AE32" s="50"/>
    </row>
    <row r="33" spans="1:33">
      <c r="A33" s="46" t="s">
        <v>0</v>
      </c>
      <c r="H33" s="317"/>
      <c r="I33" s="317"/>
      <c r="J33" s="317"/>
      <c r="K33" s="317"/>
      <c r="L33" s="317"/>
      <c r="M33" s="317"/>
      <c r="N33" s="317"/>
      <c r="O33" s="317"/>
      <c r="P33" s="317"/>
      <c r="Q33" s="317"/>
      <c r="R33" s="317"/>
      <c r="U33" s="304"/>
      <c r="V33" s="511"/>
      <c r="W33" s="315"/>
      <c r="X33" s="315"/>
      <c r="Y33" s="315"/>
      <c r="Z33" s="512"/>
      <c r="AC33" s="50"/>
      <c r="AD33" s="50"/>
      <c r="AE33" s="50"/>
    </row>
    <row r="34" spans="1:33">
      <c r="A34" s="299" t="s">
        <v>165</v>
      </c>
      <c r="H34" s="317">
        <f>'Sch AL-TOU Cust Cost Summary'!B35</f>
        <v>2396.4521041256521</v>
      </c>
      <c r="I34" s="317">
        <f>'Sch DG-R Cust Cost Summary'!B35</f>
        <v>2510.7679923766227</v>
      </c>
      <c r="J34" s="317"/>
      <c r="K34" s="317">
        <f>'Sch OL-TOU Cust Cost Summary'!B35</f>
        <v>2994.1054990720759</v>
      </c>
      <c r="L34" s="317"/>
      <c r="M34" s="317"/>
      <c r="N34" s="317"/>
      <c r="O34" s="317"/>
      <c r="P34" s="317"/>
      <c r="Q34" s="317"/>
      <c r="R34" s="317">
        <f>(H34*V34+I34*W34+X34*J34+Y34*K34)/Z34</f>
        <v>2411.2994802544013</v>
      </c>
      <c r="U34" s="528">
        <f>R34-'M-L C&amp;I Cust Cost Summary '!B35</f>
        <v>0</v>
      </c>
      <c r="V34" s="511">
        <f>'Sch AL-TOU Cust Fcst'!F39</f>
        <v>781</v>
      </c>
      <c r="W34" s="315">
        <f>'Sch DG-R Cust Fcst'!F39</f>
        <v>99</v>
      </c>
      <c r="X34" s="315"/>
      <c r="Y34" s="315">
        <f>'Sch OL-TOU Cust Fcst'!F39</f>
        <v>3</v>
      </c>
      <c r="Z34" s="512">
        <f>SUM(V34:Y34)</f>
        <v>883</v>
      </c>
      <c r="AB34" s="299"/>
      <c r="AC34" s="50"/>
      <c r="AD34" s="50"/>
      <c r="AE34" s="50"/>
      <c r="AG34" s="398"/>
    </row>
    <row r="35" spans="1:33">
      <c r="A35" s="299" t="s">
        <v>163</v>
      </c>
      <c r="H35" s="317">
        <f>'Sch AL-TOU Cust Cost Summary'!C35</f>
        <v>4113.8723968019995</v>
      </c>
      <c r="I35" s="317">
        <f>'Sch DG-R Cust Cost Summary'!C35</f>
        <v>3939.9904850725252</v>
      </c>
      <c r="J35" s="317"/>
      <c r="K35" s="317"/>
      <c r="L35" s="317"/>
      <c r="M35" s="317"/>
      <c r="N35" s="317"/>
      <c r="O35" s="317"/>
      <c r="P35" s="317"/>
      <c r="Q35" s="317"/>
      <c r="R35" s="317">
        <f>(H35*V35+I35*W35+X35*J35+Y35*K35)/Z35</f>
        <v>4093.8090992947523</v>
      </c>
      <c r="U35" s="528">
        <f>R35-'M-L C&amp;I Cust Cost Summary '!C35</f>
        <v>0</v>
      </c>
      <c r="V35" s="511">
        <f>'Sch AL-TOU Cust Fcst'!F40</f>
        <v>23</v>
      </c>
      <c r="W35" s="315">
        <f>'Sch DG-R Cust Fcst'!F40</f>
        <v>3</v>
      </c>
      <c r="X35" s="315"/>
      <c r="Y35" s="315"/>
      <c r="Z35" s="512">
        <f>SUM(V35:Y35)</f>
        <v>26</v>
      </c>
      <c r="AB35" s="299"/>
      <c r="AC35" s="50"/>
      <c r="AD35" s="50"/>
      <c r="AE35" s="50"/>
      <c r="AG35" s="398"/>
    </row>
    <row r="36" spans="1:33">
      <c r="A36" s="299" t="s">
        <v>164</v>
      </c>
      <c r="H36" s="317"/>
      <c r="I36" s="317"/>
      <c r="J36" s="317"/>
      <c r="K36" s="317"/>
      <c r="L36" s="317"/>
      <c r="M36" s="317"/>
      <c r="N36" s="317"/>
      <c r="O36" s="317"/>
      <c r="P36" s="317"/>
      <c r="Q36" s="317"/>
      <c r="R36" s="317"/>
      <c r="U36" s="528"/>
      <c r="V36" s="513"/>
      <c r="W36" s="316"/>
      <c r="X36" s="316"/>
      <c r="Y36" s="316"/>
      <c r="Z36" s="514"/>
      <c r="AC36" s="50"/>
      <c r="AD36" s="50"/>
      <c r="AE36" s="50"/>
      <c r="AG36" s="398"/>
    </row>
    <row r="37" spans="1:33" ht="13.5" thickBot="1">
      <c r="B37" s="140">
        <f>SUM(B34:B34)</f>
        <v>0</v>
      </c>
      <c r="C37" s="140">
        <f>SUM(C34:C34)</f>
        <v>0</v>
      </c>
      <c r="D37" s="140">
        <f>SUM(D34:D34)</f>
        <v>0</v>
      </c>
      <c r="E37" s="140">
        <f>SUM(E34:E34)</f>
        <v>0</v>
      </c>
      <c r="F37" s="140">
        <f>SUM(F34:F34)</f>
        <v>0</v>
      </c>
      <c r="G37" s="146"/>
      <c r="H37" s="320">
        <f>'Sch AL-TOU Cust Cost Summary'!E35</f>
        <v>2445.5822866275867</v>
      </c>
      <c r="I37" s="320">
        <f>'Sch DG-R Cust Cost Summary'!E35</f>
        <v>2552.8039480441494</v>
      </c>
      <c r="J37" s="320"/>
      <c r="K37" s="320">
        <f>'Sch OL-TOU Cust Cost Summary'!E35</f>
        <v>2994.1054990720759</v>
      </c>
      <c r="L37" s="320"/>
      <c r="M37" s="320"/>
      <c r="N37" s="320"/>
      <c r="O37" s="320"/>
      <c r="P37" s="320"/>
      <c r="Q37" s="320"/>
      <c r="R37" s="321">
        <f>(H37*V37+I37*W37+Y37*K37)/Z37</f>
        <v>2459.4240678177107</v>
      </c>
      <c r="S37" s="146"/>
      <c r="T37" s="140">
        <f>SUM(T34:T34)</f>
        <v>0</v>
      </c>
      <c r="U37" s="528">
        <f>R37-'M-L C&amp;I Cust Cost Summary '!E35</f>
        <v>0</v>
      </c>
      <c r="V37" s="511">
        <f>'Sch AL-TOU Cust Fcst'!F38</f>
        <v>804</v>
      </c>
      <c r="W37" s="315">
        <f>'Sch DG-R Cust Fcst'!F38</f>
        <v>102</v>
      </c>
      <c r="X37" s="315"/>
      <c r="Y37" s="315">
        <f>'Sch OL-TOU Cust Fcst'!F38</f>
        <v>3</v>
      </c>
      <c r="Z37" s="512">
        <f>SUM(V37:Y37)</f>
        <v>909</v>
      </c>
      <c r="AC37" s="50"/>
      <c r="AD37" s="50"/>
      <c r="AE37" s="50"/>
      <c r="AG37" s="398"/>
    </row>
    <row r="38" spans="1:33" ht="13.5" thickTop="1">
      <c r="A38" s="46" t="s">
        <v>1</v>
      </c>
      <c r="H38" s="317"/>
      <c r="I38" s="317"/>
      <c r="J38" s="317"/>
      <c r="K38" s="317"/>
      <c r="L38" s="317"/>
      <c r="M38" s="317"/>
      <c r="N38" s="317"/>
      <c r="O38" s="317"/>
      <c r="P38" s="317"/>
      <c r="Q38" s="317"/>
      <c r="R38" s="317"/>
      <c r="U38" s="528"/>
      <c r="V38" s="11"/>
      <c r="W38" s="12"/>
      <c r="X38" s="12"/>
      <c r="Y38" s="12"/>
      <c r="Z38" s="76"/>
      <c r="AC38" s="50"/>
      <c r="AD38" s="50"/>
      <c r="AE38" s="50"/>
      <c r="AG38" s="398"/>
    </row>
    <row r="39" spans="1:33" ht="18" customHeight="1">
      <c r="A39" s="299" t="s">
        <v>165</v>
      </c>
      <c r="H39" s="317">
        <f>'Sch AL-TOU Cust Cost Summary'!F35</f>
        <v>989.26258113216022</v>
      </c>
      <c r="I39" s="317">
        <f>'Sch DG-R Cust Cost Summary'!F35</f>
        <v>990.56324364212014</v>
      </c>
      <c r="J39" s="317"/>
      <c r="K39" s="317"/>
      <c r="L39" s="317"/>
      <c r="M39" s="317"/>
      <c r="N39" s="317"/>
      <c r="O39" s="317"/>
      <c r="P39" s="317"/>
      <c r="Q39" s="317"/>
      <c r="R39" s="317">
        <f>(H39*V39+I39*W39+X39*J39+Y39*K39)/Z39</f>
        <v>989.4793582171535</v>
      </c>
      <c r="U39" s="528">
        <f>R39-'M-L C&amp;I Cust Cost Summary '!F35</f>
        <v>0</v>
      </c>
      <c r="V39" s="511">
        <f>'Sch AL-TOU Cust Fcst'!G39</f>
        <v>35</v>
      </c>
      <c r="W39" s="315">
        <f>'Sch DG-R Cust Fcst'!G39</f>
        <v>7</v>
      </c>
      <c r="X39" s="315"/>
      <c r="Y39" s="315"/>
      <c r="Z39" s="512">
        <f>SUM(V39:Y39)</f>
        <v>42</v>
      </c>
      <c r="AB39" s="299"/>
      <c r="AC39" s="50"/>
      <c r="AD39" s="50"/>
      <c r="AE39" s="50"/>
      <c r="AG39" s="398"/>
    </row>
    <row r="40" spans="1:33" ht="18" customHeight="1">
      <c r="A40" s="299" t="s">
        <v>163</v>
      </c>
      <c r="H40" s="317">
        <f>'Sch AL-TOU Cust Cost Summary'!G35</f>
        <v>990.32387999738728</v>
      </c>
      <c r="I40" s="317">
        <f>'Sch DG-R Cust Cost Summary'!G35</f>
        <v>990.56324364212014</v>
      </c>
      <c r="J40" s="317">
        <f>'Sch A6-TOU Cust Cost Summary'!C35</f>
        <v>990.56324364212014</v>
      </c>
      <c r="K40" s="317"/>
      <c r="L40" s="317"/>
      <c r="M40" s="317"/>
      <c r="N40" s="317"/>
      <c r="O40" s="317"/>
      <c r="P40" s="317"/>
      <c r="Q40" s="317"/>
      <c r="R40" s="317">
        <f>(H40*V40+I40*W40+X40*J40+Y40*K40)/Z40</f>
        <v>990.42244149815963</v>
      </c>
      <c r="U40" s="528">
        <f>R40-'M-L C&amp;I Cust Cost Summary '!G35</f>
        <v>0</v>
      </c>
      <c r="V40" s="511">
        <f>'Sch AL-TOU Cust Fcst'!G40</f>
        <v>10</v>
      </c>
      <c r="W40" s="315">
        <f>'Sch DG-R Cust Fcst'!G40</f>
        <v>6</v>
      </c>
      <c r="X40" s="315">
        <f>'Sch A6-TOU Cust Fcst '!B40</f>
        <v>1</v>
      </c>
      <c r="Y40" s="315"/>
      <c r="Z40" s="512">
        <f>SUM(V40:Y40)</f>
        <v>17</v>
      </c>
      <c r="AB40" s="299"/>
      <c r="AC40" s="50"/>
      <c r="AD40" s="50"/>
      <c r="AE40" s="50"/>
      <c r="AG40" s="398"/>
    </row>
    <row r="41" spans="1:33" ht="18" customHeight="1">
      <c r="A41" s="299" t="s">
        <v>164</v>
      </c>
      <c r="H41" s="317"/>
      <c r="I41" s="317"/>
      <c r="J41" s="317"/>
      <c r="K41" s="317"/>
      <c r="L41" s="317"/>
      <c r="M41" s="317"/>
      <c r="N41" s="317"/>
      <c r="O41" s="317"/>
      <c r="P41" s="317"/>
      <c r="Q41" s="317"/>
      <c r="R41" s="317"/>
      <c r="U41" s="528"/>
      <c r="V41" s="513">
        <f>'Sch AL-TOU Cust Fcst'!G41</f>
        <v>0</v>
      </c>
      <c r="W41" s="316"/>
      <c r="X41" s="324"/>
      <c r="Y41" s="316"/>
      <c r="Z41" s="514">
        <f>SUM(V41:Y41)</f>
        <v>0</v>
      </c>
      <c r="AC41" s="50"/>
      <c r="AD41" s="50"/>
      <c r="AE41" s="50"/>
      <c r="AG41" s="398"/>
    </row>
    <row r="42" spans="1:33" ht="18" customHeight="1" thickBot="1">
      <c r="A42" s="139"/>
      <c r="B42" s="140">
        <f>SUM(B39:B39)</f>
        <v>0</v>
      </c>
      <c r="C42" s="140">
        <f>SUM(C39:C39)</f>
        <v>0</v>
      </c>
      <c r="D42" s="140">
        <f>SUM(D39:D39)</f>
        <v>0</v>
      </c>
      <c r="E42" s="140">
        <f>SUM(E39:E39)</f>
        <v>0</v>
      </c>
      <c r="F42" s="140">
        <f>SUM(F39:F39)</f>
        <v>0</v>
      </c>
      <c r="G42" s="146"/>
      <c r="H42" s="320">
        <f>'Sch AL-TOU Cust Cost Summary'!I35</f>
        <v>989.49842532443301</v>
      </c>
      <c r="I42" s="320">
        <f>'Sch DG-R Cust Cost Summary'!I35</f>
        <v>990.56324364212014</v>
      </c>
      <c r="J42" s="320">
        <f>'Sch A6-TOU Cust Cost Summary'!E35</f>
        <v>990.56324364212014</v>
      </c>
      <c r="K42" s="320"/>
      <c r="L42" s="320"/>
      <c r="M42" s="320"/>
      <c r="N42" s="320"/>
      <c r="O42" s="320"/>
      <c r="P42" s="320"/>
      <c r="Q42" s="320"/>
      <c r="R42" s="321">
        <f>(H42*V42+I42*W42+X42*J42+Y42*K42)/Z42</f>
        <v>989.75109407778257</v>
      </c>
      <c r="S42" s="146"/>
      <c r="T42" s="140">
        <f>SUM(T39:T39)</f>
        <v>0</v>
      </c>
      <c r="U42" s="528">
        <f>R42-'M-L C&amp;I Cust Cost Summary '!I35</f>
        <v>0</v>
      </c>
      <c r="V42" s="511">
        <f>'Sch AL-TOU Cust Fcst'!G38</f>
        <v>45</v>
      </c>
      <c r="W42" s="315">
        <f>'Sch DG-R Cust Fcst'!G38</f>
        <v>13</v>
      </c>
      <c r="X42" s="315">
        <f>'Sch A6-TOU Cust Fcst '!B38</f>
        <v>1</v>
      </c>
      <c r="Y42" s="315"/>
      <c r="Z42" s="512">
        <f>SUM(V42:Y42)</f>
        <v>59</v>
      </c>
      <c r="AC42" s="50"/>
      <c r="AD42" s="50"/>
      <c r="AE42" s="50"/>
      <c r="AG42" s="398"/>
    </row>
    <row r="43" spans="1:33" ht="13.5" thickTop="1">
      <c r="H43" s="317"/>
      <c r="I43" s="317"/>
      <c r="J43" s="317"/>
      <c r="K43" s="317"/>
      <c r="L43" s="317"/>
      <c r="M43" s="317"/>
      <c r="N43" s="317"/>
      <c r="O43" s="317"/>
      <c r="P43" s="317"/>
      <c r="Q43" s="317"/>
      <c r="R43" s="317"/>
      <c r="U43" s="528"/>
      <c r="V43" s="511"/>
      <c r="W43" s="315"/>
      <c r="X43" s="315"/>
      <c r="Y43" s="315"/>
      <c r="Z43" s="512"/>
      <c r="AC43" s="50"/>
      <c r="AD43" s="50"/>
      <c r="AE43" s="50"/>
      <c r="AG43" s="398"/>
    </row>
    <row r="44" spans="1:33">
      <c r="A44" s="46" t="s">
        <v>87</v>
      </c>
      <c r="H44" s="317"/>
      <c r="I44" s="317"/>
      <c r="J44" s="317"/>
      <c r="K44" s="317"/>
      <c r="L44" s="317"/>
      <c r="M44" s="317"/>
      <c r="N44" s="317"/>
      <c r="O44" s="317"/>
      <c r="P44" s="317"/>
      <c r="Q44" s="317"/>
      <c r="R44" s="317"/>
      <c r="U44" s="528"/>
      <c r="V44" s="511"/>
      <c r="W44" s="315"/>
      <c r="X44" s="315"/>
      <c r="Y44" s="315"/>
      <c r="Z44" s="512">
        <f>SUM(V44:Y44)</f>
        <v>0</v>
      </c>
      <c r="AB44" s="299"/>
      <c r="AC44" s="50"/>
      <c r="AD44" s="50"/>
      <c r="AE44" s="50"/>
      <c r="AG44" s="398"/>
    </row>
    <row r="45" spans="1:33">
      <c r="A45" s="299" t="s">
        <v>165</v>
      </c>
      <c r="H45" s="317"/>
      <c r="I45" s="317"/>
      <c r="J45" s="317"/>
      <c r="K45" s="317"/>
      <c r="L45" s="317"/>
      <c r="M45" s="317"/>
      <c r="N45" s="317"/>
      <c r="O45" s="317"/>
      <c r="P45" s="317"/>
      <c r="Q45" s="317"/>
      <c r="R45" s="317"/>
      <c r="U45" s="528"/>
      <c r="V45" s="511">
        <f>'Sch AL-TOU Cust Fcst'!H39</f>
        <v>0</v>
      </c>
      <c r="W45" s="315"/>
      <c r="X45" s="315">
        <f>'Sch A6-TOU Cust Fcst '!C39</f>
        <v>0</v>
      </c>
      <c r="Y45" s="315"/>
      <c r="Z45" s="512">
        <f>SUM(V45:Y45)</f>
        <v>0</v>
      </c>
      <c r="AB45" s="299"/>
      <c r="AC45" s="50"/>
      <c r="AD45" s="50"/>
      <c r="AE45" s="50"/>
      <c r="AG45" s="398"/>
    </row>
    <row r="46" spans="1:33">
      <c r="A46" s="299" t="s">
        <v>163</v>
      </c>
      <c r="H46" s="317"/>
      <c r="I46" s="317"/>
      <c r="J46" s="317"/>
      <c r="K46" s="317"/>
      <c r="L46" s="317"/>
      <c r="M46" s="317"/>
      <c r="N46" s="317"/>
      <c r="O46" s="317"/>
      <c r="P46" s="317"/>
      <c r="Q46" s="317"/>
      <c r="R46" s="317"/>
      <c r="U46" s="528"/>
      <c r="V46" s="511">
        <f>'Sch AL-TOU Cust Fcst'!H40</f>
        <v>0</v>
      </c>
      <c r="W46" s="315"/>
      <c r="X46" s="315">
        <f>'Sch A6-TOU Cust Fcst '!C40</f>
        <v>0</v>
      </c>
      <c r="Y46" s="315"/>
      <c r="Z46" s="512">
        <f>SUM(V46:Y46)</f>
        <v>0</v>
      </c>
      <c r="AC46" s="50"/>
      <c r="AD46" s="50"/>
      <c r="AE46" s="50"/>
      <c r="AG46" s="398"/>
    </row>
    <row r="47" spans="1:33" ht="15">
      <c r="A47" s="299" t="s">
        <v>164</v>
      </c>
      <c r="H47" s="317"/>
      <c r="I47" s="317"/>
      <c r="J47" s="317"/>
      <c r="K47" s="317"/>
      <c r="L47" s="317"/>
      <c r="M47" s="317"/>
      <c r="N47" s="317"/>
      <c r="O47" s="317"/>
      <c r="P47" s="317"/>
      <c r="Q47" s="317"/>
      <c r="R47" s="319"/>
      <c r="U47" s="528"/>
      <c r="V47" s="513">
        <f>'Sch AL-TOU Cust Fcst'!H41</f>
        <v>0</v>
      </c>
      <c r="W47" s="316"/>
      <c r="X47" s="323">
        <f>'Sch A6-TOU Cust Fcst '!C41</f>
        <v>0</v>
      </c>
      <c r="Y47" s="316"/>
      <c r="Z47" s="514">
        <f>SUM(V47:Y47)</f>
        <v>0</v>
      </c>
      <c r="AC47" s="50"/>
      <c r="AD47" s="50"/>
      <c r="AE47" s="50"/>
      <c r="AG47" s="398"/>
    </row>
    <row r="48" spans="1:33" ht="13.5" thickBot="1">
      <c r="B48" s="140">
        <f>SUM(B45:B47)</f>
        <v>0</v>
      </c>
      <c r="C48" s="140">
        <f>SUM(C45:C47)</f>
        <v>0</v>
      </c>
      <c r="D48" s="140">
        <f>SUM(D45:D47)</f>
        <v>0</v>
      </c>
      <c r="E48" s="140">
        <f>SUM(E45:E47)</f>
        <v>0</v>
      </c>
      <c r="F48" s="140">
        <f>SUM(F45:F47)</f>
        <v>0</v>
      </c>
      <c r="G48" s="146"/>
      <c r="H48" s="320"/>
      <c r="I48" s="320"/>
      <c r="J48" s="320"/>
      <c r="K48" s="320"/>
      <c r="L48" s="320"/>
      <c r="M48" s="320"/>
      <c r="N48" s="320"/>
      <c r="O48" s="320"/>
      <c r="P48" s="320"/>
      <c r="Q48" s="320"/>
      <c r="R48" s="321"/>
      <c r="S48" s="146"/>
      <c r="T48" s="140"/>
      <c r="U48" s="528"/>
      <c r="V48" s="511">
        <f>'Sch AL-TOU Cust Fcst'!H38</f>
        <v>0</v>
      </c>
      <c r="W48" s="315"/>
      <c r="X48" s="315">
        <f>'Sch A6-TOU Cust Fcst '!C38</f>
        <v>0</v>
      </c>
      <c r="Y48" s="315"/>
      <c r="Z48" s="512">
        <f>SUM(V48:Y48)</f>
        <v>0</v>
      </c>
      <c r="AC48" s="50"/>
      <c r="AD48" s="50"/>
      <c r="AE48" s="50"/>
      <c r="AG48" s="398"/>
    </row>
    <row r="49" spans="1:33" ht="13.5" thickTop="1">
      <c r="H49" s="317"/>
      <c r="I49" s="317"/>
      <c r="J49" s="317"/>
      <c r="K49" s="317"/>
      <c r="L49" s="317"/>
      <c r="M49" s="317"/>
      <c r="N49" s="317"/>
      <c r="O49" s="317"/>
      <c r="P49" s="317"/>
      <c r="Q49" s="317"/>
      <c r="R49" s="317"/>
      <c r="U49" s="528"/>
      <c r="V49" s="511"/>
      <c r="W49" s="315"/>
      <c r="X49" s="315"/>
      <c r="Y49" s="315"/>
      <c r="Z49" s="512"/>
      <c r="AC49" s="50"/>
      <c r="AD49" s="50"/>
      <c r="AE49" s="50"/>
      <c r="AG49" s="398"/>
    </row>
    <row r="50" spans="1:33">
      <c r="A50" s="141" t="s">
        <v>2</v>
      </c>
      <c r="H50" s="317"/>
      <c r="I50" s="317"/>
      <c r="J50" s="317"/>
      <c r="K50" s="317"/>
      <c r="L50" s="317"/>
      <c r="M50" s="317"/>
      <c r="N50" s="317"/>
      <c r="O50" s="317"/>
      <c r="P50" s="317"/>
      <c r="Q50" s="317"/>
      <c r="R50" s="317"/>
      <c r="U50" s="528"/>
      <c r="V50" s="511"/>
      <c r="W50" s="315"/>
      <c r="X50" s="315"/>
      <c r="Y50" s="315"/>
      <c r="Z50" s="512"/>
      <c r="AC50" s="50"/>
      <c r="AD50" s="50"/>
      <c r="AE50" s="50"/>
      <c r="AG50" s="398"/>
    </row>
    <row r="51" spans="1:33">
      <c r="A51" s="299" t="s">
        <v>165</v>
      </c>
      <c r="B51" s="50" t="e">
        <f>#REF!+#REF!+#REF!+#REF!+B45</f>
        <v>#REF!</v>
      </c>
      <c r="C51" s="50" t="e">
        <f>#REF!+#REF!+#REF!+#REF!+C45</f>
        <v>#REF!</v>
      </c>
      <c r="D51" s="50" t="e">
        <f>#REF!+#REF!+#REF!+#REF!+D45</f>
        <v>#REF!</v>
      </c>
      <c r="E51" s="50" t="e">
        <f>#REF!+#REF!+#REF!+#REF!+E45</f>
        <v>#REF!</v>
      </c>
      <c r="F51" s="50" t="e">
        <f>#REF!+#REF!+#REF!+#REF!+F45</f>
        <v>#REF!</v>
      </c>
      <c r="H51" s="317">
        <f>'Sch AL-TOU Cust Cost Summary'!N35</f>
        <v>2331.968649064519</v>
      </c>
      <c r="I51" s="317">
        <f>'Sch DG-R Cust Cost Summary'!J35</f>
        <v>2389.847266223479</v>
      </c>
      <c r="J51" s="317"/>
      <c r="K51" s="317">
        <f>'Sch OL-TOU Cust Cost Summary'!B35</f>
        <v>2994.1054990720759</v>
      </c>
      <c r="L51" s="317"/>
      <c r="M51" s="317"/>
      <c r="N51" s="317"/>
      <c r="O51" s="317"/>
      <c r="P51" s="317"/>
      <c r="Q51" s="317"/>
      <c r="R51" s="317">
        <f>(H51*V51+I51*W51+X51*J51+K51*Y51)/Z51</f>
        <v>2340.7486965984349</v>
      </c>
      <c r="T51" s="50" t="e">
        <f>#REF!+#REF!+#REF!+#REF!+T45</f>
        <v>#REF!</v>
      </c>
      <c r="U51" s="528">
        <f>R51-'M-L C&amp;I Cust Cost Summary '!N35</f>
        <v>0</v>
      </c>
      <c r="V51" s="511">
        <f>'Sch AL-TOU Cust Fcst'!I39</f>
        <v>816</v>
      </c>
      <c r="W51" s="315">
        <f>'Sch DG-R Cust Fcst'!H39</f>
        <v>106</v>
      </c>
      <c r="X51" s="315">
        <f>'Sch A6-TOU Cust Fcst '!D39</f>
        <v>0</v>
      </c>
      <c r="Y51" s="315">
        <f>'Sch OL-TOU Cust Fcst'!H39</f>
        <v>3</v>
      </c>
      <c r="Z51" s="512">
        <f>SUM(V51:Y51)</f>
        <v>925</v>
      </c>
      <c r="AB51" s="299"/>
      <c r="AC51" s="50"/>
      <c r="AD51" s="50"/>
      <c r="AE51" s="50"/>
      <c r="AG51" s="398"/>
    </row>
    <row r="52" spans="1:33">
      <c r="A52" s="299" t="s">
        <v>163</v>
      </c>
      <c r="B52" s="50" t="e">
        <f>#REF!+#REF!+#REF!+#REF!+B46</f>
        <v>#REF!</v>
      </c>
      <c r="C52" s="50" t="e">
        <f>#REF!+#REF!+#REF!+#REF!+C46</f>
        <v>#REF!</v>
      </c>
      <c r="D52" s="50" t="e">
        <f>#REF!+#REF!+#REF!+#REF!+D46</f>
        <v>#REF!</v>
      </c>
      <c r="E52" s="50" t="e">
        <f>#REF!+#REF!+#REF!+#REF!+E46</f>
        <v>#REF!</v>
      </c>
      <c r="F52" s="50" t="e">
        <f>#REF!+#REF!+#REF!+#REF!+F46</f>
        <v>#REF!</v>
      </c>
      <c r="H52" s="317">
        <f>'Sch AL-TOU Cust Cost Summary'!O35</f>
        <v>3269.368786410063</v>
      </c>
      <c r="I52" s="317">
        <f>'Sch DG-R Cust Cost Summary'!K35</f>
        <v>2215.5016275735497</v>
      </c>
      <c r="J52" s="317">
        <f>'Sch A6-TOU Cust Cost Summary'!K35</f>
        <v>990.56324364212014</v>
      </c>
      <c r="K52" s="317"/>
      <c r="L52" s="317"/>
      <c r="M52" s="317"/>
      <c r="N52" s="317"/>
      <c r="O52" s="317"/>
      <c r="P52" s="317"/>
      <c r="Q52" s="317"/>
      <c r="R52" s="317">
        <f>(H52*V52+I52*W52+X52*J52+K52*Y52)/Z52</f>
        <v>2995.7964614729335</v>
      </c>
      <c r="T52" s="50" t="e">
        <f>#REF!+#REF!+#REF!+#REF!+T46</f>
        <v>#REF!</v>
      </c>
      <c r="U52" s="528">
        <f>R52-'M-L C&amp;I Cust Cost Summary '!O35</f>
        <v>0</v>
      </c>
      <c r="V52" s="511">
        <f>'Sch AL-TOU Cust Fcst'!I40</f>
        <v>33</v>
      </c>
      <c r="W52" s="315">
        <f>'Sch DG-R Cust Fcst'!H40</f>
        <v>9</v>
      </c>
      <c r="X52" s="315">
        <f>'Sch A6-TOU Cust Fcst '!D40</f>
        <v>1</v>
      </c>
      <c r="Y52" s="315"/>
      <c r="Z52" s="512">
        <f>SUM(V52:Y52)</f>
        <v>43</v>
      </c>
      <c r="AB52" s="299"/>
      <c r="AC52" s="50"/>
      <c r="AD52" s="50"/>
      <c r="AE52" s="50"/>
      <c r="AG52" s="398"/>
    </row>
    <row r="53" spans="1:33">
      <c r="A53" s="299" t="s">
        <v>164</v>
      </c>
      <c r="B53" s="50" t="e">
        <f>B39+B34+#REF!+#REF!+B47</f>
        <v>#REF!</v>
      </c>
      <c r="C53" s="50" t="e">
        <f>C39+C34+#REF!+#REF!+C47</f>
        <v>#REF!</v>
      </c>
      <c r="D53" s="50" t="e">
        <f>D39+D34+#REF!+#REF!+D47</f>
        <v>#REF!</v>
      </c>
      <c r="E53" s="50" t="e">
        <f>E39+E34+#REF!+#REF!+E47</f>
        <v>#REF!</v>
      </c>
      <c r="F53" s="50" t="e">
        <f>F39+F34+#REF!+#REF!+F47</f>
        <v>#REF!</v>
      </c>
      <c r="H53" s="317"/>
      <c r="I53" s="317"/>
      <c r="J53" s="317"/>
      <c r="K53" s="317"/>
      <c r="L53" s="317"/>
      <c r="M53" s="317"/>
      <c r="N53" s="317"/>
      <c r="O53" s="317"/>
      <c r="P53" s="317"/>
      <c r="Q53" s="317"/>
      <c r="R53" s="317"/>
      <c r="U53" s="528"/>
      <c r="V53" s="513">
        <f>'Sch AL-TOU Cust Fcst'!I41</f>
        <v>0</v>
      </c>
      <c r="W53" s="316"/>
      <c r="X53" s="316">
        <f>'Sch A6-TOU Cust Fcst '!D41</f>
        <v>0</v>
      </c>
      <c r="Y53" s="316"/>
      <c r="Z53" s="514">
        <f>SUM(V53:Y53)</f>
        <v>0</v>
      </c>
      <c r="AC53" s="50"/>
      <c r="AD53" s="50"/>
      <c r="AE53" s="50"/>
      <c r="AG53" s="398"/>
    </row>
    <row r="54" spans="1:33" ht="13.5" thickBot="1">
      <c r="B54" s="140" t="e">
        <f>SUM(B51:B53)</f>
        <v>#REF!</v>
      </c>
      <c r="C54" s="140" t="e">
        <f>SUM(C51:C53)</f>
        <v>#REF!</v>
      </c>
      <c r="D54" s="140" t="e">
        <f>SUM(D51:D53)</f>
        <v>#REF!</v>
      </c>
      <c r="E54" s="140" t="e">
        <f>SUM(E51:E53)</f>
        <v>#REF!</v>
      </c>
      <c r="F54" s="140" t="e">
        <f>SUM(F51:F53)</f>
        <v>#REF!</v>
      </c>
      <c r="G54" s="146"/>
      <c r="H54" s="320">
        <f>'Sch AL-TOU Cust Cost Summary'!Q35</f>
        <v>2368.4046968058647</v>
      </c>
      <c r="I54" s="320">
        <f>'Sch DG-R Cust Cost Summary'!M35</f>
        <v>2376.2028249378327</v>
      </c>
      <c r="J54" s="320">
        <f>'Sch A6-TOU Cust Cost Summary'!M35</f>
        <v>990.56324364212014</v>
      </c>
      <c r="K54" s="320">
        <f>'Sch OL-TOU Cust Cost Summary'!E35</f>
        <v>2994.1054990720759</v>
      </c>
      <c r="L54" s="320"/>
      <c r="M54" s="320"/>
      <c r="N54" s="320"/>
      <c r="O54" s="320"/>
      <c r="P54" s="320"/>
      <c r="Q54" s="320"/>
      <c r="R54" s="321">
        <f>(H54*V54+I54*W54+X54*J54+K54*Y54)/Z54</f>
        <v>2369.8468927653803</v>
      </c>
      <c r="S54" s="146"/>
      <c r="T54" s="140" t="e">
        <f>SUM(T51:T53)</f>
        <v>#REF!</v>
      </c>
      <c r="U54" s="528">
        <f>R54-'M-L C&amp;I Cust Cost Summary '!Q35</f>
        <v>0</v>
      </c>
      <c r="V54" s="515">
        <f>'Sch AL-TOU Cust Fcst'!I38</f>
        <v>849</v>
      </c>
      <c r="W54" s="427">
        <f>'Sch DG-R Cust Fcst'!H38</f>
        <v>115</v>
      </c>
      <c r="X54" s="427">
        <f>'Sch A6-TOU Cust Fcst '!D38</f>
        <v>1</v>
      </c>
      <c r="Y54" s="427">
        <f>'Sch OL-TOU Cust Fcst'!H38</f>
        <v>3</v>
      </c>
      <c r="Z54" s="516">
        <f>SUM(V54:Y54)</f>
        <v>968</v>
      </c>
      <c r="AC54" s="50"/>
      <c r="AD54" s="50"/>
      <c r="AE54" s="50"/>
      <c r="AG54" s="398"/>
    </row>
    <row r="55" spans="1:33" ht="13.5" thickTop="1">
      <c r="H55" s="317"/>
      <c r="I55" s="317"/>
      <c r="J55" s="317"/>
      <c r="K55" s="317"/>
      <c r="L55" s="317"/>
      <c r="M55" s="317"/>
      <c r="N55" s="317"/>
      <c r="O55" s="317"/>
      <c r="P55" s="317"/>
      <c r="Q55" s="317"/>
      <c r="R55" s="317"/>
      <c r="U55" s="304"/>
      <c r="V55" s="50"/>
      <c r="W55" s="50"/>
      <c r="X55" s="50"/>
      <c r="Y55" s="50"/>
      <c r="Z55" s="50"/>
      <c r="AA55" s="50"/>
      <c r="AB55" s="145"/>
      <c r="AC55" s="315"/>
      <c r="AD55" s="50"/>
      <c r="AE55" s="50"/>
    </row>
    <row r="56" spans="1:33" ht="13.5" thickBot="1">
      <c r="H56" s="317"/>
      <c r="I56" s="317"/>
      <c r="J56" s="317"/>
      <c r="K56" s="317"/>
      <c r="L56" s="317"/>
      <c r="M56" s="317"/>
      <c r="N56" s="317"/>
      <c r="O56" s="317"/>
      <c r="P56" s="317"/>
      <c r="Q56" s="317"/>
      <c r="R56" s="317"/>
      <c r="U56" s="304"/>
      <c r="V56" s="50"/>
      <c r="W56" s="50"/>
      <c r="X56" s="50"/>
      <c r="Y56" s="50"/>
      <c r="Z56" s="50"/>
      <c r="AA56" s="50"/>
      <c r="AB56" s="50"/>
      <c r="AC56" s="50"/>
      <c r="AD56" s="50"/>
      <c r="AE56" s="50"/>
    </row>
    <row r="57" spans="1:33" ht="13.5" thickBot="1">
      <c r="B57" s="142"/>
      <c r="C57" s="737" t="s">
        <v>90</v>
      </c>
      <c r="D57" s="737"/>
      <c r="E57" s="737"/>
      <c r="F57" s="737"/>
      <c r="G57" s="23"/>
      <c r="H57" s="547" t="s">
        <v>80</v>
      </c>
      <c r="I57" s="548"/>
      <c r="J57" s="548"/>
      <c r="K57" s="548"/>
      <c r="L57" s="548"/>
      <c r="M57" s="548"/>
      <c r="N57" s="548"/>
      <c r="O57" s="548"/>
      <c r="P57" s="548"/>
      <c r="Q57" s="548"/>
      <c r="R57" s="549"/>
      <c r="U57" s="304"/>
      <c r="V57" s="50"/>
      <c r="W57" s="50"/>
      <c r="X57" s="50"/>
      <c r="Y57" s="50"/>
      <c r="Z57" s="50"/>
      <c r="AA57" s="50"/>
      <c r="AB57" s="50"/>
      <c r="AC57" s="50"/>
      <c r="AD57" s="50"/>
      <c r="AE57" s="50"/>
    </row>
    <row r="58" spans="1:33" ht="39" thickBot="1">
      <c r="B58" s="143" t="s">
        <v>89</v>
      </c>
      <c r="C58" s="300" t="s">
        <v>64</v>
      </c>
      <c r="D58" s="300" t="s">
        <v>70</v>
      </c>
      <c r="E58" s="300" t="s">
        <v>71</v>
      </c>
      <c r="F58" s="300" t="s">
        <v>74</v>
      </c>
      <c r="G58" s="23"/>
      <c r="H58" s="318" t="s">
        <v>76</v>
      </c>
      <c r="I58" s="318" t="s">
        <v>338</v>
      </c>
      <c r="J58" s="318"/>
      <c r="K58" s="318"/>
      <c r="L58" s="318"/>
      <c r="M58" s="318"/>
      <c r="N58" s="318"/>
      <c r="O58" s="318"/>
      <c r="P58" s="318"/>
      <c r="Q58" s="318"/>
      <c r="R58" s="462" t="s">
        <v>214</v>
      </c>
      <c r="U58" s="304"/>
      <c r="V58" s="506" t="s">
        <v>76</v>
      </c>
      <c r="W58" s="507" t="s">
        <v>338</v>
      </c>
      <c r="X58" s="508" t="s">
        <v>2</v>
      </c>
      <c r="Z58" s="50"/>
      <c r="AA58" s="50"/>
      <c r="AB58" s="50"/>
      <c r="AC58" s="50"/>
      <c r="AD58" s="50"/>
      <c r="AE58" s="50"/>
    </row>
    <row r="59" spans="1:33">
      <c r="B59" s="339"/>
      <c r="C59" s="340"/>
      <c r="D59" s="340"/>
      <c r="E59" s="340"/>
      <c r="F59" s="340"/>
      <c r="G59" s="23"/>
      <c r="H59" s="342"/>
      <c r="I59" s="342"/>
      <c r="J59" s="342"/>
      <c r="K59" s="342"/>
      <c r="L59" s="342"/>
      <c r="M59" s="342"/>
      <c r="N59" s="342"/>
      <c r="O59" s="342"/>
      <c r="P59" s="342"/>
      <c r="Q59" s="342"/>
      <c r="R59" s="343"/>
      <c r="U59" s="304"/>
      <c r="V59" s="509"/>
      <c r="W59" s="12"/>
      <c r="X59" s="510"/>
      <c r="Z59" s="50"/>
      <c r="AA59" s="50"/>
      <c r="AB59" s="50"/>
      <c r="AC59" s="50"/>
      <c r="AD59" s="50"/>
      <c r="AE59" s="50"/>
    </row>
    <row r="60" spans="1:33">
      <c r="A60" s="46" t="s">
        <v>0</v>
      </c>
      <c r="H60" s="317"/>
      <c r="I60" s="317"/>
      <c r="J60" s="317"/>
      <c r="K60" s="317"/>
      <c r="L60" s="317"/>
      <c r="M60" s="317"/>
      <c r="N60" s="317"/>
      <c r="O60" s="317"/>
      <c r="P60" s="317"/>
      <c r="Q60" s="317"/>
      <c r="R60" s="317"/>
      <c r="U60" s="304"/>
      <c r="V60" s="511"/>
      <c r="W60" s="12"/>
      <c r="X60" s="512"/>
      <c r="Z60" s="50"/>
      <c r="AA60" s="50"/>
      <c r="AB60" s="50"/>
      <c r="AC60" s="50"/>
      <c r="AD60" s="50"/>
      <c r="AE60" s="50"/>
    </row>
    <row r="61" spans="1:33">
      <c r="A61" s="299" t="s">
        <v>167</v>
      </c>
      <c r="B61" s="50">
        <f>'Marg Cust Cost Summary'!C38*'Resid Cust Fcst '!BY77</f>
        <v>0</v>
      </c>
      <c r="C61" s="50" t="e">
        <f>'Marg Cust Cost Summary'!#REF!*'Sm Comm Cust Fcst'!#REF!</f>
        <v>#REF!</v>
      </c>
      <c r="D61" s="50" t="e">
        <f>'Marg Cust Cost Summary'!#REF!*'Sm Comm Cust Fcst'!#REF!</f>
        <v>#REF!</v>
      </c>
      <c r="E61" s="50" t="e">
        <f>'Marg Cust Cost Summary'!#REF!*'Sm Comm Cust Fcst'!#REF!</f>
        <v>#REF!</v>
      </c>
      <c r="F61" s="50" t="e">
        <f>'Marg Cust Cost Summary'!#REF!*'Sm Comm Cust Fcst'!#REF!</f>
        <v>#REF!</v>
      </c>
      <c r="H61" s="317"/>
      <c r="I61" s="317">
        <f>'Sch TOU-PA Cust Cost Summary'!B35</f>
        <v>679.40993454665374</v>
      </c>
      <c r="J61" s="317"/>
      <c r="K61" s="317"/>
      <c r="L61" s="317"/>
      <c r="M61" s="317"/>
      <c r="N61" s="317"/>
      <c r="O61" s="317"/>
      <c r="P61" s="317"/>
      <c r="Q61" s="317"/>
      <c r="R61" s="317">
        <f>(H61*V61+I61*W61)/X61</f>
        <v>679.40993454665374</v>
      </c>
      <c r="U61" s="376">
        <f>R61-'Agric Cust Cost Summary'!B35</f>
        <v>0</v>
      </c>
      <c r="V61" s="511"/>
      <c r="W61" s="523">
        <f>'Sch TOU-PA Cust Fcst'!F39</f>
        <v>2</v>
      </c>
      <c r="X61" s="512">
        <f>SUM(V61:W61)</f>
        <v>2</v>
      </c>
      <c r="Z61" s="50"/>
      <c r="AA61" s="529"/>
      <c r="AB61" s="50"/>
      <c r="AC61" s="50"/>
      <c r="AD61" s="50"/>
      <c r="AE61" s="50"/>
      <c r="AG61" s="398"/>
    </row>
    <row r="62" spans="1:33" ht="15">
      <c r="A62" s="299" t="s">
        <v>168</v>
      </c>
      <c r="H62" s="317"/>
      <c r="I62" s="317">
        <f>'Sch TOU-PA Cust Cost Summary'!C35</f>
        <v>2147.187803443554</v>
      </c>
      <c r="J62" s="317"/>
      <c r="K62" s="317"/>
      <c r="L62" s="317"/>
      <c r="M62" s="317"/>
      <c r="N62" s="317"/>
      <c r="O62" s="317"/>
      <c r="P62" s="317"/>
      <c r="Q62" s="317"/>
      <c r="R62" s="317">
        <f>(H62*V62+I62*W62)/X62</f>
        <v>2147.187803443554</v>
      </c>
      <c r="U62" s="376">
        <f>R62-'Agric Cust Cost Summary'!C35</f>
        <v>0</v>
      </c>
      <c r="V62" s="513"/>
      <c r="W62" s="524">
        <f>'Sch TOU-PA Cust Fcst'!F40</f>
        <v>1</v>
      </c>
      <c r="X62" s="522">
        <f>SUM(V62:W62)</f>
        <v>1</v>
      </c>
      <c r="Z62" s="50"/>
      <c r="AA62" s="50"/>
      <c r="AB62" s="50"/>
      <c r="AC62" s="50"/>
      <c r="AD62" s="50"/>
      <c r="AE62" s="50"/>
      <c r="AG62" s="398"/>
    </row>
    <row r="63" spans="1:33" ht="13.5" thickBot="1">
      <c r="B63" s="140">
        <f>SUM(B61:B62)</f>
        <v>0</v>
      </c>
      <c r="C63" s="140" t="e">
        <f>SUM(C61:C62)</f>
        <v>#REF!</v>
      </c>
      <c r="D63" s="140" t="e">
        <f>SUM(D61:D62)</f>
        <v>#REF!</v>
      </c>
      <c r="E63" s="140" t="e">
        <f>SUM(E61:E62)</f>
        <v>#REF!</v>
      </c>
      <c r="F63" s="140" t="e">
        <f>SUM(F61:F62)</f>
        <v>#REF!</v>
      </c>
      <c r="G63" s="146"/>
      <c r="H63" s="320"/>
      <c r="I63" s="320">
        <f>'Sch TOU-PA Cust Cost Summary'!D35</f>
        <v>1168.6692241789538</v>
      </c>
      <c r="J63" s="320"/>
      <c r="K63" s="320"/>
      <c r="L63" s="320"/>
      <c r="M63" s="320"/>
      <c r="N63" s="320"/>
      <c r="O63" s="320"/>
      <c r="P63" s="320"/>
      <c r="Q63" s="320"/>
      <c r="R63" s="321">
        <f>(H63*V63+I63*W63)/X63</f>
        <v>1168.6692241789538</v>
      </c>
      <c r="U63" s="376">
        <f>R63-'Agric Cust Cost Summary'!D35</f>
        <v>0</v>
      </c>
      <c r="V63" s="511"/>
      <c r="W63" s="523">
        <f>'Sch TOU-PA Cust Fcst'!F38</f>
        <v>3</v>
      </c>
      <c r="X63" s="530">
        <f>SUM(V63:W63)</f>
        <v>3</v>
      </c>
      <c r="Z63" s="50"/>
      <c r="AA63" s="50"/>
      <c r="AB63" s="50"/>
      <c r="AC63" s="50"/>
      <c r="AD63" s="50"/>
      <c r="AE63" s="50"/>
      <c r="AG63" s="398"/>
    </row>
    <row r="64" spans="1:33" ht="13.5" thickTop="1">
      <c r="A64" s="46" t="s">
        <v>1</v>
      </c>
      <c r="H64" s="317"/>
      <c r="I64" s="317"/>
      <c r="J64" s="317"/>
      <c r="K64" s="317"/>
      <c r="L64" s="317"/>
      <c r="M64" s="317"/>
      <c r="N64" s="317"/>
      <c r="O64" s="317"/>
      <c r="P64" s="317"/>
      <c r="Q64" s="317"/>
      <c r="R64" s="317"/>
      <c r="U64" s="376"/>
      <c r="V64" s="511"/>
      <c r="W64" s="12"/>
      <c r="X64" s="512"/>
      <c r="Z64" s="50"/>
      <c r="AA64" s="50"/>
      <c r="AB64" s="50"/>
      <c r="AC64" s="50"/>
      <c r="AD64" s="50"/>
      <c r="AE64" s="50"/>
      <c r="AG64" s="398"/>
    </row>
    <row r="65" spans="1:33">
      <c r="A65" s="299" t="s">
        <v>167</v>
      </c>
      <c r="H65" s="317"/>
      <c r="I65" s="317"/>
      <c r="J65" s="317"/>
      <c r="K65" s="317"/>
      <c r="L65" s="317"/>
      <c r="M65" s="317"/>
      <c r="N65" s="317"/>
      <c r="O65" s="317"/>
      <c r="P65" s="317"/>
      <c r="Q65" s="317"/>
      <c r="R65" s="317"/>
      <c r="U65" s="376"/>
      <c r="V65" s="511"/>
      <c r="W65" s="523">
        <f>'Sch TOU-PA Cust Fcst'!G39</f>
        <v>0</v>
      </c>
      <c r="X65" s="512">
        <f>SUM(V65:W65)</f>
        <v>0</v>
      </c>
      <c r="Z65" s="50"/>
      <c r="AA65" s="50"/>
      <c r="AB65" s="50"/>
      <c r="AC65" s="50"/>
      <c r="AD65" s="50"/>
      <c r="AE65" s="50"/>
      <c r="AG65" s="398"/>
    </row>
    <row r="66" spans="1:33" ht="15">
      <c r="A66" s="299" t="s">
        <v>168</v>
      </c>
      <c r="H66" s="317"/>
      <c r="I66" s="317"/>
      <c r="J66" s="317"/>
      <c r="K66" s="317"/>
      <c r="L66" s="317"/>
      <c r="M66" s="317"/>
      <c r="N66" s="317"/>
      <c r="O66" s="317"/>
      <c r="P66" s="317"/>
      <c r="Q66" s="317"/>
      <c r="R66" s="317"/>
      <c r="U66" s="376"/>
      <c r="V66" s="513"/>
      <c r="W66" s="524">
        <f>'Sch TOU-PA Cust Fcst'!G40</f>
        <v>0</v>
      </c>
      <c r="X66" s="522">
        <f>SUM(V66:W66)</f>
        <v>0</v>
      </c>
      <c r="Z66" s="50"/>
      <c r="AA66" s="50"/>
      <c r="AB66" s="50"/>
      <c r="AC66" s="50"/>
      <c r="AD66" s="50"/>
      <c r="AE66" s="50"/>
      <c r="AG66" s="398"/>
    </row>
    <row r="67" spans="1:33" ht="13.5" thickBot="1">
      <c r="A67" s="139"/>
      <c r="B67" s="140">
        <f>SUM(B65:B66)</f>
        <v>0</v>
      </c>
      <c r="C67" s="140">
        <f>SUM(C65:C66)</f>
        <v>0</v>
      </c>
      <c r="D67" s="140">
        <f>SUM(D65:D66)</f>
        <v>0</v>
      </c>
      <c r="E67" s="140">
        <f>SUM(E65:E66)</f>
        <v>0</v>
      </c>
      <c r="F67" s="140">
        <f>SUM(F65:F66)</f>
        <v>0</v>
      </c>
      <c r="G67" s="146"/>
      <c r="H67" s="320"/>
      <c r="I67" s="321"/>
      <c r="J67" s="320"/>
      <c r="K67" s="320"/>
      <c r="L67" s="320"/>
      <c r="M67" s="320"/>
      <c r="N67" s="320"/>
      <c r="O67" s="320"/>
      <c r="P67" s="320"/>
      <c r="Q67" s="320"/>
      <c r="R67" s="321"/>
      <c r="U67" s="376"/>
      <c r="V67" s="511"/>
      <c r="W67" s="523">
        <f>'Sch TOU-PA Cust Fcst'!G38</f>
        <v>0</v>
      </c>
      <c r="X67" s="530">
        <f>SUM(V67:W67)</f>
        <v>0</v>
      </c>
      <c r="Z67" s="50"/>
      <c r="AA67" s="50"/>
      <c r="AB67" s="50"/>
      <c r="AC67" s="50"/>
      <c r="AD67" s="50"/>
      <c r="AE67" s="50"/>
      <c r="AG67" s="398"/>
    </row>
    <row r="68" spans="1:33" ht="13.5" thickTop="1">
      <c r="H68" s="317"/>
      <c r="I68" s="317"/>
      <c r="J68" s="317"/>
      <c r="K68" s="317"/>
      <c r="L68" s="317"/>
      <c r="M68" s="317"/>
      <c r="N68" s="317"/>
      <c r="O68" s="317"/>
      <c r="P68" s="317"/>
      <c r="Q68" s="317"/>
      <c r="R68" s="317"/>
      <c r="U68" s="376"/>
      <c r="V68" s="511"/>
      <c r="W68" s="12"/>
      <c r="X68" s="512"/>
      <c r="Z68" s="50"/>
      <c r="AA68" s="50"/>
      <c r="AB68" s="50"/>
      <c r="AC68" s="50"/>
      <c r="AD68" s="50"/>
      <c r="AE68" s="50"/>
    </row>
    <row r="69" spans="1:33">
      <c r="A69" s="141" t="s">
        <v>2</v>
      </c>
      <c r="H69" s="317"/>
      <c r="I69" s="317"/>
      <c r="J69" s="317"/>
      <c r="K69" s="317"/>
      <c r="L69" s="317"/>
      <c r="M69" s="317"/>
      <c r="N69" s="317"/>
      <c r="O69" s="317"/>
      <c r="P69" s="317"/>
      <c r="Q69" s="317"/>
      <c r="R69" s="317"/>
      <c r="U69" s="376"/>
      <c r="V69" s="511"/>
      <c r="W69" s="12"/>
      <c r="X69" s="512"/>
      <c r="Z69" s="50"/>
      <c r="AA69" s="50"/>
      <c r="AB69" s="50"/>
      <c r="AC69" s="50"/>
      <c r="AD69" s="50"/>
      <c r="AE69" s="50"/>
    </row>
    <row r="70" spans="1:33">
      <c r="A70" s="299" t="s">
        <v>167</v>
      </c>
      <c r="B70" s="50">
        <f>'Marg Cust Cost Summary'!C44*'Resid Cust Fcst '!BY82</f>
        <v>0</v>
      </c>
      <c r="C70" s="50" t="e">
        <f>'Marg Cust Cost Summary'!#REF!*'Sm Comm Cust Fcst'!#REF!</f>
        <v>#REF!</v>
      </c>
      <c r="D70" s="50" t="e">
        <f>'Marg Cust Cost Summary'!#REF!*'Sm Comm Cust Fcst'!#REF!</f>
        <v>#REF!</v>
      </c>
      <c r="E70" s="50" t="e">
        <f>'Marg Cust Cost Summary'!#REF!*'Sm Comm Cust Fcst'!#REF!</f>
        <v>#REF!</v>
      </c>
      <c r="F70" s="50" t="e">
        <f>'Marg Cust Cost Summary'!#REF!*'Sm Comm Cust Fcst'!#REF!</f>
        <v>#REF!</v>
      </c>
      <c r="H70" s="317"/>
      <c r="I70" s="317">
        <f>'Sch TOU-PA Cust Cost Summary'!H35</f>
        <v>679.40993454665374</v>
      </c>
      <c r="J70" s="317"/>
      <c r="K70" s="317"/>
      <c r="L70" s="317"/>
      <c r="M70" s="317"/>
      <c r="N70" s="317"/>
      <c r="O70" s="317"/>
      <c r="P70" s="317"/>
      <c r="Q70" s="317"/>
      <c r="R70" s="317">
        <f>(H70*V70+I70*W70)/X70</f>
        <v>679.40993454665374</v>
      </c>
      <c r="U70" s="376">
        <f>R70-'Agric Cust Cost Summary'!H35</f>
        <v>0</v>
      </c>
      <c r="V70" s="511"/>
      <c r="W70" s="523">
        <f>'Sch TOU-PA Cust Fcst'!H39</f>
        <v>2</v>
      </c>
      <c r="X70" s="512">
        <f>SUM(V70:W70)</f>
        <v>2</v>
      </c>
      <c r="Z70" s="50"/>
      <c r="AA70" s="50"/>
      <c r="AB70" s="50"/>
      <c r="AC70" s="50"/>
      <c r="AD70" s="50"/>
      <c r="AE70" s="50"/>
      <c r="AG70" s="398"/>
    </row>
    <row r="71" spans="1:33" ht="15">
      <c r="A71" s="299" t="s">
        <v>168</v>
      </c>
      <c r="H71" s="317"/>
      <c r="I71" s="317">
        <f>'Sch TOU-PA Cust Cost Summary'!I35</f>
        <v>2147.187803443554</v>
      </c>
      <c r="J71" s="317"/>
      <c r="K71" s="317"/>
      <c r="L71" s="317"/>
      <c r="M71" s="317"/>
      <c r="N71" s="317"/>
      <c r="O71" s="317"/>
      <c r="P71" s="317"/>
      <c r="Q71" s="317"/>
      <c r="R71" s="317">
        <f>(H71*V71+I71*W71)/X71</f>
        <v>2147.187803443554</v>
      </c>
      <c r="U71" s="376">
        <f>R71-'Agric Cust Cost Summary'!I35</f>
        <v>0</v>
      </c>
      <c r="V71" s="513"/>
      <c r="W71" s="524">
        <f>'Sch TOU-PA Cust Fcst'!H40</f>
        <v>1</v>
      </c>
      <c r="X71" s="522">
        <f>SUM(V71:W71)</f>
        <v>1</v>
      </c>
      <c r="Z71" s="50"/>
      <c r="AA71" s="50"/>
      <c r="AB71" s="50"/>
      <c r="AC71" s="50"/>
      <c r="AD71" s="50"/>
      <c r="AE71" s="50"/>
    </row>
    <row r="72" spans="1:33" ht="13.5" thickBot="1">
      <c r="B72" s="140">
        <f>SUM(B70:B71)</f>
        <v>0</v>
      </c>
      <c r="C72" s="140" t="e">
        <f>SUM(C70:C71)</f>
        <v>#REF!</v>
      </c>
      <c r="D72" s="140" t="e">
        <f>SUM(D70:D71)</f>
        <v>#REF!</v>
      </c>
      <c r="E72" s="140" t="e">
        <f>SUM(E70:E71)</f>
        <v>#REF!</v>
      </c>
      <c r="F72" s="140" t="e">
        <f>SUM(F70:F71)</f>
        <v>#REF!</v>
      </c>
      <c r="G72" s="146"/>
      <c r="H72" s="320"/>
      <c r="I72" s="320">
        <f>'Sch TOU-PA Cust Cost Summary'!J35</f>
        <v>1168.6692241789538</v>
      </c>
      <c r="J72" s="320"/>
      <c r="K72" s="320"/>
      <c r="L72" s="320"/>
      <c r="M72" s="320"/>
      <c r="N72" s="320"/>
      <c r="O72" s="320"/>
      <c r="P72" s="320"/>
      <c r="Q72" s="320"/>
      <c r="R72" s="321">
        <f>(H72*V72+I72*W72)/X72</f>
        <v>1168.6692241789538</v>
      </c>
      <c r="U72" s="376">
        <f>R72-'Agric Cust Cost Summary'!J35</f>
        <v>0</v>
      </c>
      <c r="V72" s="515"/>
      <c r="W72" s="525">
        <f>'Sch TOU-PA Cust Fcst'!H38</f>
        <v>3</v>
      </c>
      <c r="X72" s="531">
        <f>SUM(V72:W72)</f>
        <v>3</v>
      </c>
      <c r="Z72" s="50"/>
      <c r="AA72" s="50"/>
      <c r="AB72" s="50"/>
      <c r="AC72" s="50"/>
      <c r="AD72" s="50"/>
      <c r="AE72" s="50"/>
    </row>
    <row r="73" spans="1:33" ht="13.5" thickTop="1">
      <c r="H73" s="317"/>
      <c r="I73" s="317"/>
      <c r="J73" s="317"/>
      <c r="K73" s="317"/>
      <c r="L73" s="317"/>
      <c r="M73" s="317"/>
      <c r="N73" s="317"/>
      <c r="O73" s="317"/>
      <c r="P73" s="317"/>
      <c r="Q73" s="317"/>
      <c r="R73" s="317"/>
      <c r="V73" s="50"/>
      <c r="W73" s="50"/>
      <c r="X73" s="50"/>
      <c r="Y73" s="50"/>
      <c r="Z73" s="50"/>
      <c r="AA73" s="50"/>
      <c r="AB73" s="50"/>
      <c r="AC73" s="50"/>
      <c r="AD73" s="50"/>
      <c r="AE73" s="50"/>
    </row>
    <row r="74" spans="1:33">
      <c r="H74" s="317"/>
      <c r="I74" s="317"/>
      <c r="J74" s="317"/>
      <c r="K74" s="317"/>
      <c r="L74" s="317"/>
      <c r="M74" s="317"/>
      <c r="N74" s="317"/>
      <c r="O74" s="317"/>
      <c r="P74" s="317"/>
      <c r="Q74" s="317"/>
      <c r="R74" s="317"/>
      <c r="V74" s="50"/>
      <c r="W74" s="50"/>
      <c r="X74" s="50"/>
      <c r="Y74" s="50"/>
      <c r="Z74" s="50"/>
      <c r="AA74" s="50"/>
      <c r="AB74" s="50"/>
      <c r="AC74" s="50"/>
      <c r="AD74" s="50"/>
      <c r="AE74" s="50"/>
    </row>
    <row r="75" spans="1:33">
      <c r="H75" s="732" t="s">
        <v>58</v>
      </c>
      <c r="I75" s="733"/>
      <c r="J75" s="733"/>
      <c r="K75" s="733"/>
      <c r="L75" s="733"/>
      <c r="M75" s="733"/>
      <c r="N75" s="733"/>
      <c r="O75" s="733"/>
      <c r="P75" s="733"/>
      <c r="Q75" s="733"/>
      <c r="R75" s="734"/>
      <c r="V75" s="50"/>
      <c r="W75" s="50"/>
      <c r="X75" s="50"/>
      <c r="Y75" s="50"/>
      <c r="Z75" s="50"/>
      <c r="AA75" s="50"/>
      <c r="AB75" s="50"/>
      <c r="AC75" s="50"/>
      <c r="AD75" s="50"/>
      <c r="AE75" s="50"/>
    </row>
    <row r="76" spans="1:33" ht="38.25">
      <c r="H76" s="318" t="s">
        <v>58</v>
      </c>
      <c r="I76" s="318"/>
      <c r="J76" s="318"/>
      <c r="K76" s="318"/>
      <c r="L76" s="318"/>
      <c r="M76" s="318"/>
      <c r="N76" s="318"/>
      <c r="O76" s="318"/>
      <c r="P76" s="318"/>
      <c r="Q76" s="318"/>
      <c r="R76" s="462" t="s">
        <v>214</v>
      </c>
      <c r="V76" s="341"/>
      <c r="W76" s="341"/>
      <c r="X76" s="341"/>
      <c r="Y76" s="50"/>
      <c r="Z76" s="50"/>
      <c r="AA76" s="50"/>
      <c r="AB76" s="50"/>
      <c r="AC76" s="50"/>
      <c r="AD76" s="50"/>
      <c r="AE76" s="50"/>
    </row>
    <row r="77" spans="1:33">
      <c r="H77" s="317"/>
      <c r="I77" s="317"/>
      <c r="J77" s="317"/>
      <c r="K77" s="317"/>
      <c r="L77" s="317"/>
      <c r="M77" s="317"/>
      <c r="N77" s="317"/>
      <c r="O77" s="317"/>
      <c r="P77" s="317"/>
      <c r="Q77" s="317"/>
      <c r="R77" s="317"/>
      <c r="V77" s="315"/>
      <c r="W77" s="315"/>
      <c r="X77" s="315"/>
      <c r="Y77" s="50"/>
      <c r="Z77" s="50"/>
      <c r="AA77" s="50"/>
      <c r="AB77" s="50"/>
      <c r="AC77" s="50"/>
      <c r="AD77" s="50"/>
      <c r="AE77" s="50"/>
    </row>
    <row r="78" spans="1:33">
      <c r="A78" s="46" t="s">
        <v>2</v>
      </c>
      <c r="H78" s="317">
        <f>'Street Light Cust Cost Summary'!B40</f>
        <v>12.180829080183774</v>
      </c>
      <c r="I78" s="317"/>
      <c r="J78" s="317"/>
      <c r="K78" s="317"/>
      <c r="L78" s="317"/>
      <c r="M78" s="317"/>
      <c r="N78" s="317"/>
      <c r="O78" s="317"/>
      <c r="P78" s="317"/>
      <c r="Q78" s="317"/>
      <c r="R78" s="317">
        <f>H78</f>
        <v>12.180829080183774</v>
      </c>
      <c r="U78" s="376">
        <f>R78-'Street Light Cust Cost Summary'!B40</f>
        <v>0</v>
      </c>
      <c r="V78" s="315"/>
      <c r="W78" s="315"/>
      <c r="X78" s="315"/>
      <c r="Y78" s="50"/>
      <c r="Z78" s="50"/>
      <c r="AA78" s="50"/>
      <c r="AB78" s="50"/>
      <c r="AC78" s="50"/>
      <c r="AD78" s="50"/>
      <c r="AE78" s="50"/>
    </row>
    <row r="81" spans="1:23">
      <c r="A81" s="46" t="s">
        <v>406</v>
      </c>
    </row>
    <row r="82" spans="1:23">
      <c r="A82" s="299"/>
    </row>
    <row r="83" spans="1:23">
      <c r="A83" s="46" t="s">
        <v>0</v>
      </c>
      <c r="H83" s="317"/>
      <c r="I83" s="317"/>
      <c r="J83" s="317"/>
      <c r="K83" s="317"/>
      <c r="L83" s="317"/>
      <c r="M83" s="317"/>
      <c r="N83" s="317"/>
      <c r="O83" s="317"/>
      <c r="P83" s="317"/>
      <c r="Q83" s="317"/>
      <c r="R83" s="317"/>
    </row>
    <row r="84" spans="1:23">
      <c r="A84" s="299" t="s">
        <v>167</v>
      </c>
      <c r="B84" s="50">
        <f>'Marg Cust Cost Summary'!C61*'Resid Cust Fcst '!BY100</f>
        <v>0</v>
      </c>
      <c r="C84" s="50" t="e">
        <f>'Marg Cust Cost Summary'!#REF!*'Sm Comm Cust Fcst'!#REF!</f>
        <v>#REF!</v>
      </c>
      <c r="D84" s="50" t="e">
        <f>'Marg Cust Cost Summary'!#REF!*'Sm Comm Cust Fcst'!#REF!</f>
        <v>#REF!</v>
      </c>
      <c r="E84" s="50" t="e">
        <f>'Marg Cust Cost Summary'!#REF!*'Sm Comm Cust Fcst'!#REF!</f>
        <v>#REF!</v>
      </c>
      <c r="F84" s="50" t="e">
        <f>'Marg Cust Cost Summary'!#REF!*'Sm Comm Cust Fcst'!#REF!</f>
        <v>#REF!</v>
      </c>
      <c r="H84" s="317"/>
      <c r="I84" s="317"/>
      <c r="J84" s="317"/>
      <c r="K84" s="317"/>
      <c r="L84" s="317"/>
      <c r="M84" s="317"/>
      <c r="N84" s="317"/>
      <c r="O84" s="317"/>
      <c r="P84" s="317"/>
      <c r="Q84" s="317"/>
      <c r="R84" s="317">
        <f>'School Class Cust Cost Summary'!B35</f>
        <v>517.86492293406832</v>
      </c>
      <c r="V84" s="18">
        <f>AF3+Z14+X61</f>
        <v>647</v>
      </c>
    </row>
    <row r="85" spans="1:23" ht="15">
      <c r="A85" s="299" t="s">
        <v>168</v>
      </c>
      <c r="H85" s="317"/>
      <c r="I85" s="317"/>
      <c r="J85" s="317"/>
      <c r="K85" s="317"/>
      <c r="L85" s="317"/>
      <c r="M85" s="317"/>
      <c r="N85" s="317"/>
      <c r="O85" s="317"/>
      <c r="P85" s="317"/>
      <c r="Q85" s="317"/>
      <c r="R85" s="317">
        <f>'School Class Cust Cost Summary'!C35</f>
        <v>2459.0926411729506</v>
      </c>
      <c r="V85" s="599">
        <f>Z37+X62</f>
        <v>910</v>
      </c>
    </row>
    <row r="86" spans="1:23" ht="13.5" thickBot="1">
      <c r="B86" s="140">
        <f>SUM(B84:B85)</f>
        <v>0</v>
      </c>
      <c r="C86" s="140" t="e">
        <f>SUM(C84:C85)</f>
        <v>#REF!</v>
      </c>
      <c r="D86" s="140" t="e">
        <f>SUM(D84:D85)</f>
        <v>#REF!</v>
      </c>
      <c r="E86" s="140" t="e">
        <f>SUM(E84:E85)</f>
        <v>#REF!</v>
      </c>
      <c r="F86" s="140" t="e">
        <f>SUM(F84:F85)</f>
        <v>#REF!</v>
      </c>
      <c r="G86" s="146"/>
      <c r="H86" s="320"/>
      <c r="I86" s="320"/>
      <c r="J86" s="320"/>
      <c r="K86" s="320"/>
      <c r="L86" s="320"/>
      <c r="M86" s="320"/>
      <c r="N86" s="320"/>
      <c r="O86" s="320"/>
      <c r="P86" s="320"/>
      <c r="Q86" s="320"/>
      <c r="R86" s="321">
        <f>'School Class Cust Cost Summary'!D35</f>
        <v>1652.4296137480585</v>
      </c>
      <c r="V86" s="18">
        <f>V84+V85</f>
        <v>1557</v>
      </c>
    </row>
    <row r="87" spans="1:23" ht="13.5" thickTop="1">
      <c r="A87" s="46" t="s">
        <v>1</v>
      </c>
      <c r="H87" s="317"/>
      <c r="I87" s="317"/>
      <c r="J87" s="317"/>
      <c r="K87" s="317"/>
      <c r="L87" s="317"/>
      <c r="M87" s="317"/>
      <c r="N87" s="317"/>
      <c r="O87" s="317"/>
      <c r="P87" s="317"/>
      <c r="Q87" s="317"/>
      <c r="R87" s="317"/>
    </row>
    <row r="88" spans="1:23">
      <c r="A88" s="299" t="s">
        <v>167</v>
      </c>
      <c r="H88" s="317"/>
      <c r="I88" s="317"/>
      <c r="J88" s="317"/>
      <c r="K88" s="317"/>
      <c r="L88" s="317"/>
      <c r="M88" s="317"/>
      <c r="N88" s="317"/>
      <c r="O88" s="317"/>
      <c r="P88" s="317"/>
      <c r="Q88" s="317"/>
      <c r="R88" s="317"/>
      <c r="V88" s="18">
        <f>AC39</f>
        <v>0</v>
      </c>
    </row>
    <row r="89" spans="1:23" ht="15">
      <c r="A89" s="299" t="s">
        <v>168</v>
      </c>
      <c r="H89" s="317"/>
      <c r="I89" s="317"/>
      <c r="J89" s="317"/>
      <c r="K89" s="317"/>
      <c r="L89" s="317"/>
      <c r="M89" s="317"/>
      <c r="N89" s="317"/>
      <c r="O89" s="317"/>
      <c r="P89" s="317"/>
      <c r="Q89" s="317"/>
      <c r="R89" s="317">
        <f>'School Class Cust Cost Summary'!F35</f>
        <v>989.75109407778245</v>
      </c>
      <c r="V89" s="599">
        <f>Z42</f>
        <v>59</v>
      </c>
    </row>
    <row r="90" spans="1:23" ht="13.5" thickBot="1">
      <c r="A90" s="139"/>
      <c r="B90" s="140">
        <f>SUM(B88:B89)</f>
        <v>0</v>
      </c>
      <c r="C90" s="140">
        <f>SUM(C88:C89)</f>
        <v>0</v>
      </c>
      <c r="D90" s="140">
        <f>SUM(D88:D89)</f>
        <v>0</v>
      </c>
      <c r="E90" s="140">
        <f>SUM(E88:E89)</f>
        <v>0</v>
      </c>
      <c r="F90" s="140">
        <f>SUM(F88:F89)</f>
        <v>0</v>
      </c>
      <c r="G90" s="146"/>
      <c r="H90" s="320"/>
      <c r="I90" s="321"/>
      <c r="J90" s="320"/>
      <c r="K90" s="320"/>
      <c r="L90" s="320"/>
      <c r="M90" s="320"/>
      <c r="N90" s="320"/>
      <c r="O90" s="320"/>
      <c r="P90" s="320"/>
      <c r="Q90" s="320"/>
      <c r="R90" s="321">
        <f>'School Class Cust Cost Summary'!G35</f>
        <v>989.75109407778245</v>
      </c>
      <c r="V90" s="18">
        <f>V88+V89</f>
        <v>59</v>
      </c>
    </row>
    <row r="91" spans="1:23" ht="13.5" thickTop="1">
      <c r="H91" s="317"/>
      <c r="I91" s="317"/>
      <c r="J91" s="317"/>
      <c r="K91" s="317"/>
      <c r="L91" s="317"/>
      <c r="M91" s="317"/>
      <c r="N91" s="317"/>
      <c r="O91" s="317"/>
      <c r="P91" s="317"/>
      <c r="Q91" s="317"/>
      <c r="R91" s="317"/>
    </row>
    <row r="92" spans="1:23">
      <c r="A92" s="141" t="s">
        <v>407</v>
      </c>
      <c r="H92" s="317"/>
      <c r="I92" s="317"/>
      <c r="J92" s="317"/>
      <c r="K92" s="317"/>
      <c r="L92" s="317"/>
      <c r="M92" s="317"/>
      <c r="N92" s="317"/>
      <c r="O92" s="317"/>
      <c r="P92" s="317"/>
      <c r="Q92" s="317"/>
      <c r="R92" s="317"/>
    </row>
    <row r="93" spans="1:23">
      <c r="A93" s="299" t="s">
        <v>167</v>
      </c>
      <c r="B93" s="50">
        <f>'Marg Cust Cost Summary'!C67*'Resid Cust Fcst '!BY105</f>
        <v>0</v>
      </c>
      <c r="C93" s="50" t="e">
        <f>'Marg Cust Cost Summary'!#REF!*'Sm Comm Cust Fcst'!#REF!</f>
        <v>#REF!</v>
      </c>
      <c r="D93" s="50" t="e">
        <f>'Marg Cust Cost Summary'!#REF!*'Sm Comm Cust Fcst'!#REF!</f>
        <v>#REF!</v>
      </c>
      <c r="E93" s="50" t="e">
        <f>'Marg Cust Cost Summary'!#REF!*'Sm Comm Cust Fcst'!#REF!</f>
        <v>#REF!</v>
      </c>
      <c r="F93" s="50" t="e">
        <f>'Marg Cust Cost Summary'!#REF!*'Sm Comm Cust Fcst'!#REF!</f>
        <v>#REF!</v>
      </c>
      <c r="H93" s="317"/>
      <c r="I93" s="317"/>
      <c r="J93" s="317"/>
      <c r="K93" s="317"/>
      <c r="L93" s="317"/>
      <c r="M93" s="317"/>
      <c r="N93" s="317"/>
      <c r="O93" s="317"/>
      <c r="P93" s="317"/>
      <c r="Q93" s="317"/>
      <c r="R93" s="317">
        <f>'School Class Cust Cost Summary'!H35</f>
        <v>517.86492293406832</v>
      </c>
      <c r="V93" s="18">
        <f>V84+V88</f>
        <v>647</v>
      </c>
    </row>
    <row r="94" spans="1:23">
      <c r="A94" s="299" t="s">
        <v>168</v>
      </c>
      <c r="H94" s="317"/>
      <c r="I94" s="317"/>
      <c r="J94" s="317"/>
      <c r="K94" s="317"/>
      <c r="L94" s="317"/>
      <c r="M94" s="317"/>
      <c r="N94" s="317"/>
      <c r="O94" s="317"/>
      <c r="P94" s="317"/>
      <c r="Q94" s="317"/>
      <c r="R94" s="317">
        <f>'School Class Cust Cost Summary'!I35</f>
        <v>2369.6280887698395</v>
      </c>
      <c r="V94" s="18">
        <f>V85+V89</f>
        <v>969</v>
      </c>
      <c r="W94" s="18"/>
    </row>
    <row r="95" spans="1:23" ht="13.5" thickBot="1">
      <c r="B95" s="140">
        <f>SUM(B93:B94)</f>
        <v>0</v>
      </c>
      <c r="C95" s="140" t="e">
        <f>SUM(C93:C94)</f>
        <v>#REF!</v>
      </c>
      <c r="D95" s="140" t="e">
        <f>SUM(D93:D94)</f>
        <v>#REF!</v>
      </c>
      <c r="E95" s="140" t="e">
        <f>SUM(E93:E94)</f>
        <v>#REF!</v>
      </c>
      <c r="F95" s="140" t="e">
        <f>SUM(F93:F94)</f>
        <v>#REF!</v>
      </c>
      <c r="G95" s="146"/>
      <c r="H95" s="320"/>
      <c r="I95" s="320"/>
      <c r="J95" s="320"/>
      <c r="K95" s="320"/>
      <c r="L95" s="320"/>
      <c r="M95" s="320"/>
      <c r="N95" s="320"/>
      <c r="O95" s="320"/>
      <c r="P95" s="320"/>
      <c r="Q95" s="320"/>
      <c r="R95" s="321">
        <f>'School Class Cust Cost Summary'!J35</f>
        <v>1628.2352866066315</v>
      </c>
      <c r="V95" s="18">
        <f>V93+V94</f>
        <v>1616</v>
      </c>
    </row>
    <row r="96" spans="1:23" ht="13.5" thickTop="1"/>
    <row r="97" spans="1:22">
      <c r="A97" s="46" t="s">
        <v>58</v>
      </c>
    </row>
    <row r="98" spans="1:22" ht="13.5" thickBot="1">
      <c r="H98" s="320"/>
      <c r="I98" s="320"/>
      <c r="J98" s="320"/>
      <c r="K98" s="320"/>
      <c r="L98" s="320"/>
      <c r="M98" s="320"/>
      <c r="N98" s="320"/>
      <c r="O98" s="320"/>
      <c r="P98" s="320"/>
      <c r="Q98" s="320"/>
      <c r="R98" s="321">
        <f>'School Class Cust Cost Summary'!J37</f>
        <v>12.180829080183774</v>
      </c>
      <c r="V98">
        <f>'Street Light Cust Cost Summary'!B30</f>
        <v>103</v>
      </c>
    </row>
    <row r="99" spans="1:22" ht="13.5" thickTop="1"/>
    <row r="100" spans="1:22">
      <c r="A100" s="46" t="s">
        <v>2</v>
      </c>
      <c r="V100" s="18">
        <f>V95+V98</f>
        <v>1719</v>
      </c>
    </row>
  </sheetData>
  <mergeCells count="9">
    <mergeCell ref="H75:R75"/>
    <mergeCell ref="T30:T31"/>
    <mergeCell ref="H30:R30"/>
    <mergeCell ref="C57:F57"/>
    <mergeCell ref="C1:F1"/>
    <mergeCell ref="H1:R1"/>
    <mergeCell ref="C6:F6"/>
    <mergeCell ref="H6:R6"/>
    <mergeCell ref="C30:F30"/>
  </mergeCells>
  <printOptions horizontalCentered="1"/>
  <pageMargins left="0.75" right="0.75" top="1" bottom="1" header="0.5" footer="0.5"/>
  <pageSetup scale="56" orientation="portrait" r:id="rId1"/>
  <headerFooter alignWithMargins="0">
    <oddFooter>&amp;L&amp;F
&amp;A&amp;R&amp;P of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40">
    <tabColor rgb="FFFFC000"/>
  </sheetPr>
  <dimension ref="A1:AG59"/>
  <sheetViews>
    <sheetView topLeftCell="L20" zoomScaleNormal="100" workbookViewId="0">
      <selection activeCell="O39" sqref="O39"/>
    </sheetView>
  </sheetViews>
  <sheetFormatPr defaultRowHeight="12.75"/>
  <cols>
    <col min="1" max="1" width="32.7109375" customWidth="1"/>
    <col min="2" max="2" width="12.85546875" bestFit="1" customWidth="1"/>
    <col min="3" max="4" width="8.7109375" bestFit="1" customWidth="1"/>
    <col min="5" max="5" width="11.7109375" customWidth="1"/>
    <col min="6" max="6" width="12.85546875" bestFit="1" customWidth="1"/>
    <col min="7" max="8" width="11.5703125" customWidth="1"/>
    <col min="9" max="9" width="11.42578125" customWidth="1"/>
    <col min="10" max="10" width="12.85546875" bestFit="1" customWidth="1"/>
    <col min="11" max="11" width="11.28515625" bestFit="1" customWidth="1"/>
    <col min="12" max="12" width="10.140625" customWidth="1"/>
    <col min="13" max="13" width="11.7109375" customWidth="1"/>
    <col min="14" max="14" width="12.85546875" bestFit="1" customWidth="1"/>
    <col min="15" max="16" width="11.28515625" bestFit="1" customWidth="1"/>
    <col min="17" max="21" width="12.5703125" customWidth="1"/>
    <col min="22" max="22" width="12.85546875" bestFit="1" customWidth="1"/>
    <col min="23" max="24" width="11.42578125" customWidth="1"/>
    <col min="25" max="29" width="13" customWidth="1"/>
    <col min="30" max="30" width="12.85546875" bestFit="1" customWidth="1"/>
    <col min="31" max="32" width="11.28515625" bestFit="1" customWidth="1"/>
    <col min="33" max="33" width="10.28515625" bestFit="1" customWidth="1"/>
  </cols>
  <sheetData>
    <row r="1" spans="1:33" ht="18.75" thickBot="1">
      <c r="A1" s="756" t="s">
        <v>160</v>
      </c>
      <c r="B1" s="756"/>
      <c r="C1" s="756"/>
      <c r="D1" s="756"/>
      <c r="E1" s="756"/>
      <c r="F1" s="756"/>
      <c r="G1" s="756"/>
      <c r="H1" s="756"/>
      <c r="I1" s="756"/>
      <c r="J1" s="756"/>
      <c r="K1" s="756"/>
      <c r="L1" s="756"/>
      <c r="M1" s="756"/>
      <c r="N1" s="756"/>
      <c r="O1" s="756"/>
      <c r="P1" s="756"/>
      <c r="Q1" s="756"/>
      <c r="R1" s="756"/>
      <c r="S1" s="756"/>
      <c r="T1" s="756"/>
      <c r="U1" s="756"/>
      <c r="V1" s="756"/>
      <c r="W1" s="756"/>
      <c r="X1" s="756"/>
      <c r="Y1" s="756"/>
      <c r="Z1" s="231"/>
      <c r="AA1" s="231"/>
      <c r="AB1" s="231"/>
      <c r="AC1" s="231"/>
    </row>
    <row r="2" spans="1:33" ht="13.5" thickBot="1">
      <c r="A2" s="232"/>
      <c r="B2" s="749" t="s">
        <v>117</v>
      </c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50"/>
      <c r="S2" s="750"/>
      <c r="T2" s="750"/>
      <c r="U2" s="752"/>
      <c r="V2" s="749" t="s">
        <v>118</v>
      </c>
      <c r="W2" s="750"/>
      <c r="X2" s="750"/>
      <c r="Y2" s="752"/>
      <c r="Z2" s="749" t="s">
        <v>208</v>
      </c>
      <c r="AA2" s="750"/>
      <c r="AB2" s="750"/>
      <c r="AC2" s="752"/>
      <c r="AD2" s="750" t="s">
        <v>204</v>
      </c>
      <c r="AE2" s="750"/>
      <c r="AF2" s="750"/>
      <c r="AG2" s="752"/>
    </row>
    <row r="3" spans="1:33">
      <c r="A3" s="55"/>
      <c r="B3" s="757" t="s">
        <v>113</v>
      </c>
      <c r="C3" s="758"/>
      <c r="D3" s="758"/>
      <c r="E3" s="759"/>
      <c r="F3" s="757" t="s">
        <v>100</v>
      </c>
      <c r="G3" s="758"/>
      <c r="H3" s="758"/>
      <c r="I3" s="759"/>
      <c r="J3" s="758" t="s">
        <v>33</v>
      </c>
      <c r="K3" s="758"/>
      <c r="L3" s="758"/>
      <c r="M3" s="759"/>
      <c r="N3" s="751" t="s">
        <v>34</v>
      </c>
      <c r="O3" s="758"/>
      <c r="P3" s="758"/>
      <c r="Q3" s="759"/>
      <c r="R3" s="751" t="s">
        <v>123</v>
      </c>
      <c r="S3" s="758"/>
      <c r="T3" s="758"/>
      <c r="U3" s="759"/>
      <c r="V3" s="762"/>
      <c r="W3" s="762"/>
      <c r="X3" s="762"/>
      <c r="Y3" s="763"/>
      <c r="Z3" s="761"/>
      <c r="AA3" s="762"/>
      <c r="AB3" s="762"/>
      <c r="AC3" s="763"/>
      <c r="AD3" s="762"/>
      <c r="AE3" s="762"/>
      <c r="AF3" s="762"/>
      <c r="AG3" s="763"/>
    </row>
    <row r="4" spans="1:33" ht="13.5" thickBot="1">
      <c r="A4" s="235" t="s">
        <v>4</v>
      </c>
      <c r="B4" s="235" t="s">
        <v>36</v>
      </c>
      <c r="C4" s="236" t="s">
        <v>37</v>
      </c>
      <c r="D4" s="236" t="s">
        <v>38</v>
      </c>
      <c r="E4" s="237" t="s">
        <v>41</v>
      </c>
      <c r="F4" s="235" t="s">
        <v>36</v>
      </c>
      <c r="G4" s="236" t="s">
        <v>37</v>
      </c>
      <c r="H4" s="236" t="s">
        <v>38</v>
      </c>
      <c r="I4" s="237" t="s">
        <v>41</v>
      </c>
      <c r="J4" s="236" t="s">
        <v>36</v>
      </c>
      <c r="K4" s="236" t="s">
        <v>37</v>
      </c>
      <c r="L4" s="236" t="s">
        <v>38</v>
      </c>
      <c r="M4" s="237" t="s">
        <v>41</v>
      </c>
      <c r="N4" s="235" t="s">
        <v>36</v>
      </c>
      <c r="O4" s="236" t="s">
        <v>37</v>
      </c>
      <c r="P4" s="236" t="s">
        <v>38</v>
      </c>
      <c r="Q4" s="237" t="s">
        <v>41</v>
      </c>
      <c r="R4" s="235" t="s">
        <v>36</v>
      </c>
      <c r="S4" s="236" t="s">
        <v>37</v>
      </c>
      <c r="T4" s="236" t="s">
        <v>38</v>
      </c>
      <c r="U4" s="237" t="s">
        <v>41</v>
      </c>
      <c r="V4" s="236" t="s">
        <v>36</v>
      </c>
      <c r="W4" s="236" t="s">
        <v>37</v>
      </c>
      <c r="X4" s="236" t="s">
        <v>38</v>
      </c>
      <c r="Y4" s="237" t="s">
        <v>41</v>
      </c>
      <c r="Z4" s="235" t="s">
        <v>36</v>
      </c>
      <c r="AA4" s="236" t="s">
        <v>37</v>
      </c>
      <c r="AB4" s="236" t="s">
        <v>38</v>
      </c>
      <c r="AC4" s="237" t="s">
        <v>41</v>
      </c>
      <c r="AD4" s="236" t="s">
        <v>36</v>
      </c>
      <c r="AE4" s="236" t="s">
        <v>37</v>
      </c>
      <c r="AF4" s="236" t="s">
        <v>38</v>
      </c>
      <c r="AG4" s="237" t="s">
        <v>41</v>
      </c>
    </row>
    <row r="5" spans="1:3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  <c r="AD5" s="6" t="s">
        <v>42</v>
      </c>
      <c r="AE5" s="6" t="s">
        <v>42</v>
      </c>
      <c r="AF5" s="6" t="s">
        <v>42</v>
      </c>
      <c r="AG5" s="7" t="s">
        <v>43</v>
      </c>
    </row>
    <row r="6" spans="1:33">
      <c r="A6" s="10"/>
      <c r="B6" s="104"/>
      <c r="C6" s="8"/>
      <c r="D6" s="8"/>
      <c r="E6" s="9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8"/>
      <c r="W6" s="8"/>
      <c r="X6" s="8"/>
      <c r="Y6" s="9"/>
      <c r="Z6" s="104"/>
      <c r="AA6" s="8"/>
      <c r="AB6" s="8"/>
      <c r="AC6" s="9"/>
      <c r="AD6" s="8"/>
      <c r="AE6" s="8"/>
      <c r="AF6" s="8"/>
      <c r="AG6" s="9"/>
    </row>
    <row r="7" spans="1:33">
      <c r="A7" s="124" t="s">
        <v>5</v>
      </c>
      <c r="B7" s="109">
        <f>'Sch AL-TOU Cust Fcst'!$B6*'Non-Residential TSM UC Adj'!B7</f>
        <v>1164.1219422621439</v>
      </c>
      <c r="C7" s="23">
        <f>'Sch AL-TOU Cust Fcst'!$B6*'Non-Residential TSM UC Adj'!C7</f>
        <v>448.66848781064141</v>
      </c>
      <c r="D7" s="23">
        <f>'Sch AL-TOU Cust Fcst'!$B6*'Non-Residential TSM UC Adj'!D7</f>
        <v>924.03447540525531</v>
      </c>
      <c r="E7" s="41">
        <f>IF(SUM(B7:D7)=0,0,SUM(B7:D7)/'Sch AL-TOU Cust Fcst'!B6)</f>
        <v>634.2062263695102</v>
      </c>
      <c r="F7" s="109">
        <f>'Sch AL-TOU Cust Fcst'!$C6*'Non-Residential TSM UC Adj'!F7</f>
        <v>0</v>
      </c>
      <c r="G7" s="23">
        <f>'Sch AL-TOU Cust Fcst'!$C6*'Non-Residential TSM UC Adj'!G7</f>
        <v>0</v>
      </c>
      <c r="H7" s="23">
        <f>'Sch AL-TOU Cust Fcst'!$C6*'Non-Residential TSM UC Adj'!H7</f>
        <v>0</v>
      </c>
      <c r="I7" s="41">
        <f>IF(SUM(F7:H7)=0,0,SUM(F7:H7)/'Sch AL-TOU Cust Fcst'!C6)</f>
        <v>0</v>
      </c>
      <c r="J7" s="109">
        <f>'Sch AL-TOU Cust Fcst'!$D6*'Non-Residential TSM UC Adj'!J7</f>
        <v>706.87118474133399</v>
      </c>
      <c r="K7" s="23">
        <f>'Sch AL-TOU Cust Fcst'!$D6*'Non-Residential TSM UC Adj'!K7</f>
        <v>1219.6406502013074</v>
      </c>
      <c r="L7" s="23">
        <f>'Sch AL-TOU Cust Fcst'!$D6*'Non-Residential TSM UC Adj'!L7</f>
        <v>594.03371457768185</v>
      </c>
      <c r="M7" s="41">
        <f>IF(SUM(J7:L7)=0,0,SUM(J7:L7)/'Sch AL-TOU Cust Fcst'!D6)</f>
        <v>1260.2727747601616</v>
      </c>
      <c r="N7" s="109">
        <f>'Sch AL-TOU Cust Fcst'!$E6*'Non-Residential TSM UC Adj'!N7</f>
        <v>0</v>
      </c>
      <c r="O7" s="23">
        <f>'Sch AL-TOU Cust Fcst'!$E6*'Non-Residential TSM UC Adj'!O7</f>
        <v>0</v>
      </c>
      <c r="P7" s="23">
        <f>'Sch AL-TOU Cust Fcst'!$E6*'Non-Residential TSM UC Adj'!P7</f>
        <v>0</v>
      </c>
      <c r="Q7" s="41">
        <f>IF(SUM(N7:P7)=0,0,SUM(N7:P7)/'Sch AL-TOU Cust Fcst'!E6)</f>
        <v>0</v>
      </c>
      <c r="R7" s="109">
        <f>B7+F7+J7+N7</f>
        <v>1870.9931270034779</v>
      </c>
      <c r="S7" s="23">
        <f t="shared" ref="S7:T22" si="0">C7+G7+K7+O7</f>
        <v>1668.3091380119488</v>
      </c>
      <c r="T7" s="23">
        <f t="shared" si="0"/>
        <v>1518.0681899829372</v>
      </c>
      <c r="U7" s="41">
        <f>IF(SUM(R7:T7)=0,0,SUM(R7:T7)/'Sch AL-TOU Cust Fcst'!F6)</f>
        <v>842.89507583306067</v>
      </c>
      <c r="V7" s="33">
        <f>'Sch AL-TOU Cust Fcst'!$G6*'Non-Residential TSM UC Adj'!R7</f>
        <v>0</v>
      </c>
      <c r="W7" s="33">
        <f>'Sch AL-TOU Cust Fcst'!$G6*'Non-Residential TSM UC Adj'!S7</f>
        <v>0</v>
      </c>
      <c r="X7" s="33">
        <f>'Sch AL-TOU Cust Fcst'!$G6*'Non-Residential TSM UC Adj'!T7</f>
        <v>0</v>
      </c>
      <c r="Y7" s="41">
        <f>IF(SUM(V7:X7)=0,0,SUM(V7:X7)/'Sch AL-TOU Cust Fcst'!G6)</f>
        <v>0</v>
      </c>
      <c r="Z7" s="33">
        <f>'Sch AL-TOU Cust Fcst'!$H6*'Non-Residential TSM UC Adj'!R7</f>
        <v>0</v>
      </c>
      <c r="AA7" s="33">
        <f>'Sch AL-TOU Cust Fcst'!$H6*'Non-Residential TSM UC Adj'!W7</f>
        <v>0</v>
      </c>
      <c r="AB7" s="33">
        <f>'Sch AL-TOU Cust Fcst'!$H6*'Non-Residential TSM UC Adj'!X7</f>
        <v>0</v>
      </c>
      <c r="AC7" s="41">
        <f>IF(SUM(Z7:AB7)=0,0,SUM(Z7:AB7)/'Sch AL-TOU Cust Fcst'!H6)</f>
        <v>0</v>
      </c>
      <c r="AD7" s="23">
        <f>R7+V7+Z7</f>
        <v>1870.9931270034779</v>
      </c>
      <c r="AE7" s="23">
        <f t="shared" ref="AE7:AF22" si="1">S7+W7+AA7</f>
        <v>1668.3091380119488</v>
      </c>
      <c r="AF7" s="23">
        <f t="shared" si="1"/>
        <v>1518.0681899829372</v>
      </c>
      <c r="AG7" s="41">
        <f>IF(SUM(AD7:AF7)=0,0,SUM(AD7:AF7)/'Sch AL-TOU Cust Fcst'!I6)</f>
        <v>842.89507583306067</v>
      </c>
    </row>
    <row r="8" spans="1:33">
      <c r="A8" s="125" t="s">
        <v>6</v>
      </c>
      <c r="B8" s="109">
        <f>'Sch AL-TOU Cust Fcst'!$B7*'Non-Residential TSM UC Adj'!B8</f>
        <v>4365.4572834830396</v>
      </c>
      <c r="C8" s="23">
        <f>'Sch AL-TOU Cust Fcst'!$B7*'Non-Residential TSM UC Adj'!C8</f>
        <v>560.83560976330182</v>
      </c>
      <c r="D8" s="23">
        <f>'Sch AL-TOU Cust Fcst'!$B7*'Non-Residential TSM UC Adj'!D8</f>
        <v>1155.043094256569</v>
      </c>
      <c r="E8" s="41">
        <f>IF(SUM(B8:D8)=0,0,SUM(B8:D8)/'Sch AL-TOU Cust Fcst'!B7)</f>
        <v>1216.2671975005821</v>
      </c>
      <c r="F8" s="109">
        <f>'Sch AL-TOU Cust Fcst'!$C7*'Non-Residential TSM UC Adj'!F8</f>
        <v>0</v>
      </c>
      <c r="G8" s="23">
        <f>'Sch AL-TOU Cust Fcst'!$C7*'Non-Residential TSM UC Adj'!G8</f>
        <v>0</v>
      </c>
      <c r="H8" s="23">
        <f>'Sch AL-TOU Cust Fcst'!$C7*'Non-Residential TSM UC Adj'!H8</f>
        <v>0</v>
      </c>
      <c r="I8" s="41">
        <f>IF(SUM(F8:H8)=0,0,SUM(F8:H8)/'Sch AL-TOU Cust Fcst'!C7)</f>
        <v>0</v>
      </c>
      <c r="J8" s="109">
        <f>'Sch AL-TOU Cust Fcst'!$D7*'Non-Residential TSM UC Adj'!J8</f>
        <v>1060.3067771120011</v>
      </c>
      <c r="K8" s="23">
        <f>'Sch AL-TOU Cust Fcst'!$D7*'Non-Residential TSM UC Adj'!K8</f>
        <v>609.82032510065369</v>
      </c>
      <c r="L8" s="23">
        <f>'Sch AL-TOU Cust Fcst'!$D7*'Non-Residential TSM UC Adj'!L8</f>
        <v>297.01685728884092</v>
      </c>
      <c r="M8" s="41">
        <f>IF(SUM(J8:L8)=0,0,SUM(J8:L8)/'Sch AL-TOU Cust Fcst'!D7)</f>
        <v>1967.1439595014958</v>
      </c>
      <c r="N8" s="109">
        <f>'Sch AL-TOU Cust Fcst'!$E7*'Non-Residential TSM UC Adj'!N8</f>
        <v>0</v>
      </c>
      <c r="O8" s="23">
        <f>'Sch AL-TOU Cust Fcst'!$E7*'Non-Residential TSM UC Adj'!O8</f>
        <v>0</v>
      </c>
      <c r="P8" s="23">
        <f>'Sch AL-TOU Cust Fcst'!$E7*'Non-Residential TSM UC Adj'!P8</f>
        <v>0</v>
      </c>
      <c r="Q8" s="41">
        <f>IF(SUM(N8:P8)=0,0,SUM(N8:P8)/'Sch AL-TOU Cust Fcst'!E7)</f>
        <v>0</v>
      </c>
      <c r="R8" s="109">
        <f t="shared" ref="R8:T37" si="2">B8+F8+J8+N8</f>
        <v>5425.764060595041</v>
      </c>
      <c r="S8" s="23">
        <f t="shared" si="0"/>
        <v>1170.6559348639555</v>
      </c>
      <c r="T8" s="23">
        <f t="shared" si="0"/>
        <v>1452.0599515454101</v>
      </c>
      <c r="U8" s="41">
        <f>IF(SUM(R8:T8)=0,0,SUM(R8:T8)/'Sch AL-TOU Cust Fcst'!F7)</f>
        <v>1341.4133245007345</v>
      </c>
      <c r="V8" s="33">
        <f>'Sch AL-TOU Cust Fcst'!$G7*'Non-Residential TSM UC Adj'!R8</f>
        <v>0</v>
      </c>
      <c r="W8" s="33">
        <f>'Sch AL-TOU Cust Fcst'!$G7*'Non-Residential TSM UC Adj'!S8</f>
        <v>3129.9273129422195</v>
      </c>
      <c r="X8" s="33">
        <f>'Sch AL-TOU Cust Fcst'!$G7*'Non-Residential TSM UC Adj'!T8</f>
        <v>855.2930770275243</v>
      </c>
      <c r="Y8" s="41">
        <f>IF(SUM(V8:X8)=0,0,SUM(V8:X8)/'Sch AL-TOU Cust Fcst'!G7)</f>
        <v>3985.2203899697438</v>
      </c>
      <c r="Z8" s="33">
        <f>'Sch AL-TOU Cust Fcst'!$H7*'Non-Residential TSM UC Adj'!R8</f>
        <v>0</v>
      </c>
      <c r="AA8" s="33">
        <f>'Sch AL-TOU Cust Fcst'!$H7*'Non-Residential TSM UC Adj'!W8</f>
        <v>0</v>
      </c>
      <c r="AB8" s="33">
        <f>'Sch AL-TOU Cust Fcst'!$H7*'Non-Residential TSM UC Adj'!X8</f>
        <v>0</v>
      </c>
      <c r="AC8" s="41">
        <f>IF(SUM(Z8:AB8)=0,0,SUM(Z8:AB8)/'Sch AL-TOU Cust Fcst'!H7)</f>
        <v>0</v>
      </c>
      <c r="AD8" s="23">
        <f t="shared" ref="AD8:AD37" si="3">R8+V8+Z8</f>
        <v>5425.764060595041</v>
      </c>
      <c r="AE8" s="23">
        <f t="shared" si="1"/>
        <v>4300.5832478061748</v>
      </c>
      <c r="AF8" s="23">
        <f t="shared" si="1"/>
        <v>2307.3530285729344</v>
      </c>
      <c r="AG8" s="41">
        <f>IF(SUM(AD8:AF8)=0,0,SUM(AD8:AF8)/'Sch AL-TOU Cust Fcst'!I7)</f>
        <v>1719.1000481391641</v>
      </c>
    </row>
    <row r="9" spans="1:33">
      <c r="A9" s="126" t="s">
        <v>7</v>
      </c>
      <c r="B9" s="109">
        <f>'Sch AL-TOU Cust Fcst'!$B8*'Non-Residential TSM UC Adj'!B9</f>
        <v>1746.1829133932158</v>
      </c>
      <c r="C9" s="23">
        <f>'Sch AL-TOU Cust Fcst'!$B8*'Non-Residential TSM UC Adj'!C9</f>
        <v>316.20928754290622</v>
      </c>
      <c r="D9" s="23">
        <f>'Sch AL-TOU Cust Fcst'!$B8*'Non-Residential TSM UC Adj'!D9</f>
        <v>462.01723770262765</v>
      </c>
      <c r="E9" s="41">
        <f>IF(SUM(B9:D9)=0,0,SUM(B9:D9)/'Sch AL-TOU Cust Fcst'!B8)</f>
        <v>1262.2047193193748</v>
      </c>
      <c r="F9" s="109">
        <f>'Sch AL-TOU Cust Fcst'!$C8*'Non-Residential TSM UC Adj'!F9</f>
        <v>4033.6373121128622</v>
      </c>
      <c r="G9" s="23">
        <f>'Sch AL-TOU Cust Fcst'!$C8*'Non-Residential TSM UC Adj'!G9</f>
        <v>1436.5838382290649</v>
      </c>
      <c r="H9" s="23">
        <f>'Sch AL-TOU Cust Fcst'!$C8*'Non-Residential TSM UC Adj'!H9</f>
        <v>594.03371457768185</v>
      </c>
      <c r="I9" s="41">
        <f>IF(SUM(F9:H9)=0,0,SUM(F9:H9)/'Sch AL-TOU Cust Fcst'!C8)</f>
        <v>3032.1274324598048</v>
      </c>
      <c r="J9" s="109">
        <f>'Sch AL-TOU Cust Fcst'!$D8*'Non-Residential TSM UC Adj'!J9</f>
        <v>6361.8406626720061</v>
      </c>
      <c r="K9" s="23">
        <f>'Sch AL-TOU Cust Fcst'!$D8*'Non-Residential TSM UC Adj'!K9</f>
        <v>2154.8757573435973</v>
      </c>
      <c r="L9" s="23">
        <f>'Sch AL-TOU Cust Fcst'!$D8*'Non-Residential TSM UC Adj'!L9</f>
        <v>891.05057186652277</v>
      </c>
      <c r="M9" s="41">
        <f>IF(SUM(J9:L9)=0,0,SUM(J9:L9)/'Sch AL-TOU Cust Fcst'!D8)</f>
        <v>3135.9223306273757</v>
      </c>
      <c r="N9" s="109">
        <f>'Sch AL-TOU Cust Fcst'!$E8*'Non-Residential TSM UC Adj'!N9</f>
        <v>0</v>
      </c>
      <c r="O9" s="23">
        <f>'Sch AL-TOU Cust Fcst'!$E8*'Non-Residential TSM UC Adj'!O9</f>
        <v>0</v>
      </c>
      <c r="P9" s="23">
        <f>'Sch AL-TOU Cust Fcst'!$E8*'Non-Residential TSM UC Adj'!P9</f>
        <v>0</v>
      </c>
      <c r="Q9" s="41">
        <f>IF(SUM(N9:P9)=0,0,SUM(N9:P9)/'Sch AL-TOU Cust Fcst'!E8)</f>
        <v>0</v>
      </c>
      <c r="R9" s="109">
        <f t="shared" si="2"/>
        <v>12141.660888178085</v>
      </c>
      <c r="S9" s="23">
        <f t="shared" si="0"/>
        <v>3907.6688831155684</v>
      </c>
      <c r="T9" s="23">
        <f t="shared" si="0"/>
        <v>1947.1015241468322</v>
      </c>
      <c r="U9" s="41">
        <f>IF(SUM(R9:T9)=0,0,SUM(R9:T9)/'Sch AL-TOU Cust Fcst'!F8)</f>
        <v>2570.9187564914978</v>
      </c>
      <c r="V9" s="33">
        <f>'Sch AL-TOU Cust Fcst'!$G8*'Non-Residential TSM UC Adj'!R9</f>
        <v>0</v>
      </c>
      <c r="W9" s="33">
        <f>'Sch AL-TOU Cust Fcst'!$G8*'Non-Residential TSM UC Adj'!S9</f>
        <v>0</v>
      </c>
      <c r="X9" s="33">
        <f>'Sch AL-TOU Cust Fcst'!$G8*'Non-Residential TSM UC Adj'!T9</f>
        <v>0</v>
      </c>
      <c r="Y9" s="41">
        <f>IF(SUM(V9:X9)=0,0,SUM(V9:X9)/'Sch AL-TOU Cust Fcst'!G8)</f>
        <v>0</v>
      </c>
      <c r="Z9" s="33">
        <f>'Sch AL-TOU Cust Fcst'!$H8*'Non-Residential TSM UC Adj'!R9</f>
        <v>0</v>
      </c>
      <c r="AA9" s="33">
        <f>'Sch AL-TOU Cust Fcst'!$H8*'Non-Residential TSM UC Adj'!W9</f>
        <v>0</v>
      </c>
      <c r="AB9" s="33">
        <f>'Sch AL-TOU Cust Fcst'!$H8*'Non-Residential TSM UC Adj'!X9</f>
        <v>0</v>
      </c>
      <c r="AC9" s="41">
        <f>IF(SUM(Z9:AB9)=0,0,SUM(Z9:AB9)/'Sch AL-TOU Cust Fcst'!H8)</f>
        <v>0</v>
      </c>
      <c r="AD9" s="23">
        <f t="shared" si="3"/>
        <v>12141.660888178085</v>
      </c>
      <c r="AE9" s="23">
        <f t="shared" si="1"/>
        <v>3907.6688831155684</v>
      </c>
      <c r="AF9" s="23">
        <f t="shared" si="1"/>
        <v>1947.1015241468322</v>
      </c>
      <c r="AG9" s="41">
        <f>IF(SUM(AD9:AF9)=0,0,SUM(AD9:AF9)/'Sch AL-TOU Cust Fcst'!I8)</f>
        <v>2570.9187564914978</v>
      </c>
    </row>
    <row r="10" spans="1:33">
      <c r="A10" s="126" t="s">
        <v>110</v>
      </c>
      <c r="B10" s="109">
        <f>'Sch AL-TOU Cust Fcst'!$B9*'Non-Residential TSM UC Adj'!B10</f>
        <v>8730.9145669660793</v>
      </c>
      <c r="C10" s="23">
        <f>'Sch AL-TOU Cust Fcst'!$B9*'Non-Residential TSM UC Adj'!C10</f>
        <v>691.31738311329025</v>
      </c>
      <c r="D10" s="23">
        <f>'Sch AL-TOU Cust Fcst'!$B9*'Non-Residential TSM UC Adj'!D10</f>
        <v>924.03447540525531</v>
      </c>
      <c r="E10" s="41">
        <f>IF(SUM(B10:D10)=0,0,SUM(B10:D10)/'Sch AL-TOU Cust Fcst'!B9)</f>
        <v>2586.566606371156</v>
      </c>
      <c r="F10" s="109">
        <f>'Sch AL-TOU Cust Fcst'!$C9*'Non-Residential TSM UC Adj'!F10</f>
        <v>0</v>
      </c>
      <c r="G10" s="23">
        <f>'Sch AL-TOU Cust Fcst'!$C9*'Non-Residential TSM UC Adj'!G10</f>
        <v>0</v>
      </c>
      <c r="H10" s="23">
        <f>'Sch AL-TOU Cust Fcst'!$C9*'Non-Residential TSM UC Adj'!H10</f>
        <v>0</v>
      </c>
      <c r="I10" s="41">
        <f>IF(SUM(F10:H10)=0,0,SUM(F10:H10)/'Sch AL-TOU Cust Fcst'!C9)</f>
        <v>0</v>
      </c>
      <c r="J10" s="109">
        <f>'Sch AL-TOU Cust Fcst'!$D9*'Non-Residential TSM UC Adj'!J10</f>
        <v>9896.1965863786772</v>
      </c>
      <c r="K10" s="23">
        <f>'Sch AL-TOU Cust Fcst'!$D9*'Non-Residential TSM UC Adj'!K10</f>
        <v>1436.5838382290649</v>
      </c>
      <c r="L10" s="23">
        <f>'Sch AL-TOU Cust Fcst'!$D9*'Non-Residential TSM UC Adj'!L10</f>
        <v>594.03371457768185</v>
      </c>
      <c r="M10" s="41">
        <f>IF(SUM(J10:L10)=0,0,SUM(J10:L10)/'Sch AL-TOU Cust Fcst'!D9)</f>
        <v>5963.4070695927121</v>
      </c>
      <c r="N10" s="109">
        <f>'Sch AL-TOU Cust Fcst'!$E9*'Non-Residential TSM UC Adj'!N10</f>
        <v>5836.7948491438538</v>
      </c>
      <c r="O10" s="23">
        <f>'Sch AL-TOU Cust Fcst'!$E9*'Non-Residential TSM UC Adj'!O10</f>
        <v>718.29191911453245</v>
      </c>
      <c r="P10" s="23">
        <f>'Sch AL-TOU Cust Fcst'!$E9*'Non-Residential TSM UC Adj'!P10</f>
        <v>297.01685728884092</v>
      </c>
      <c r="Q10" s="41">
        <f>IF(SUM(N10:P10)=0,0,SUM(N10:P10)/'Sch AL-TOU Cust Fcst'!E9)</f>
        <v>6852.1036255472272</v>
      </c>
      <c r="R10" s="109">
        <f t="shared" si="2"/>
        <v>24463.906002488609</v>
      </c>
      <c r="S10" s="23">
        <f t="shared" si="0"/>
        <v>2846.1931404568877</v>
      </c>
      <c r="T10" s="23">
        <f t="shared" si="0"/>
        <v>1815.085047271778</v>
      </c>
      <c r="U10" s="41">
        <f>IF(SUM(R10:T10)=0,0,SUM(R10:T10)/'Sch AL-TOU Cust Fcst'!F9)</f>
        <v>4160.7405986024678</v>
      </c>
      <c r="V10" s="33">
        <f>'Sch AL-TOU Cust Fcst'!$G9*'Non-Residential TSM UC Adj'!R10</f>
        <v>0</v>
      </c>
      <c r="W10" s="33">
        <f>'Sch AL-TOU Cust Fcst'!$G9*'Non-Residential TSM UC Adj'!S10</f>
        <v>0</v>
      </c>
      <c r="X10" s="33">
        <f>'Sch AL-TOU Cust Fcst'!$G9*'Non-Residential TSM UC Adj'!T10</f>
        <v>0</v>
      </c>
      <c r="Y10" s="41">
        <f>IF(SUM(V10:X10)=0,0,SUM(V10:X10)/'Sch AL-TOU Cust Fcst'!G9)</f>
        <v>0</v>
      </c>
      <c r="Z10" s="33">
        <f>'Sch AL-TOU Cust Fcst'!$H9*'Non-Residential TSM UC Adj'!R10</f>
        <v>0</v>
      </c>
      <c r="AA10" s="33">
        <f>'Sch AL-TOU Cust Fcst'!$H9*'Non-Residential TSM UC Adj'!W10</f>
        <v>0</v>
      </c>
      <c r="AB10" s="33">
        <f>'Sch AL-TOU Cust Fcst'!$H9*'Non-Residential TSM UC Adj'!X10</f>
        <v>0</v>
      </c>
      <c r="AC10" s="41">
        <f>IF(SUM(Z10:AB10)=0,0,SUM(Z10:AB10)/'Sch AL-TOU Cust Fcst'!H9)</f>
        <v>0</v>
      </c>
      <c r="AD10" s="23">
        <f t="shared" si="3"/>
        <v>24463.906002488609</v>
      </c>
      <c r="AE10" s="23">
        <f t="shared" si="1"/>
        <v>2846.1931404568877</v>
      </c>
      <c r="AF10" s="23">
        <f t="shared" si="1"/>
        <v>1815.085047271778</v>
      </c>
      <c r="AG10" s="41">
        <f>IF(SUM(AD10:AF10)=0,0,SUM(AD10:AF10)/'Sch AL-TOU Cust Fcst'!I9)</f>
        <v>4160.7405986024678</v>
      </c>
    </row>
    <row r="11" spans="1:33">
      <c r="A11" s="126" t="s">
        <v>102</v>
      </c>
      <c r="B11" s="109">
        <f>'Sch AL-TOU Cust Fcst'!$B10*'Non-Residential TSM UC Adj'!B11</f>
        <v>8730.9145669660793</v>
      </c>
      <c r="C11" s="23">
        <f>'Sch AL-TOU Cust Fcst'!$B10*'Non-Residential TSM UC Adj'!C11</f>
        <v>691.31738311329025</v>
      </c>
      <c r="D11" s="23">
        <f>'Sch AL-TOU Cust Fcst'!$B10*'Non-Residential TSM UC Adj'!D11</f>
        <v>924.03447540525531</v>
      </c>
      <c r="E11" s="41">
        <f>IF(SUM(B11:D11)=0,0,SUM(B11:D11)/'Sch AL-TOU Cust Fcst'!B10)</f>
        <v>2586.566606371156</v>
      </c>
      <c r="F11" s="109">
        <f>'Sch AL-TOU Cust Fcst'!$C10*'Non-Residential TSM UC Adj'!F11</f>
        <v>9411.8203949300114</v>
      </c>
      <c r="G11" s="23">
        <f>'Sch AL-TOU Cust Fcst'!$C10*'Non-Residential TSM UC Adj'!G11</f>
        <v>1436.5838382290649</v>
      </c>
      <c r="H11" s="23">
        <f>'Sch AL-TOU Cust Fcst'!$C10*'Non-Residential TSM UC Adj'!H11</f>
        <v>594.03371457768185</v>
      </c>
      <c r="I11" s="41">
        <f>IF(SUM(F11:H11)=0,0,SUM(F11:H11)/'Sch AL-TOU Cust Fcst'!C10)</f>
        <v>5721.2189738683783</v>
      </c>
      <c r="J11" s="109">
        <f>'Sch AL-TOU Cust Fcst'!$D10*'Non-Residential TSM UC Adj'!J11</f>
        <v>24740.491465946692</v>
      </c>
      <c r="K11" s="23">
        <f>'Sch AL-TOU Cust Fcst'!$D10*'Non-Residential TSM UC Adj'!K11</f>
        <v>3591.4595955726622</v>
      </c>
      <c r="L11" s="23">
        <f>'Sch AL-TOU Cust Fcst'!$D10*'Non-Residential TSM UC Adj'!L11</f>
        <v>1485.0842864442047</v>
      </c>
      <c r="M11" s="41">
        <f>IF(SUM(J11:L11)=0,0,SUM(J11:L11)/'Sch AL-TOU Cust Fcst'!D10)</f>
        <v>5963.4070695927121</v>
      </c>
      <c r="N11" s="109">
        <f>'Sch AL-TOU Cust Fcst'!$E10*'Non-Residential TSM UC Adj'!N11</f>
        <v>5836.7948491438538</v>
      </c>
      <c r="O11" s="23">
        <f>'Sch AL-TOU Cust Fcst'!$E10*'Non-Residential TSM UC Adj'!O11</f>
        <v>718.29191911453245</v>
      </c>
      <c r="P11" s="23">
        <f>'Sch AL-TOU Cust Fcst'!$E10*'Non-Residential TSM UC Adj'!P11</f>
        <v>297.01685728884092</v>
      </c>
      <c r="Q11" s="41">
        <f>IF(SUM(N11:P11)=0,0,SUM(N11:P11)/'Sch AL-TOU Cust Fcst'!E10)</f>
        <v>6852.1036255472272</v>
      </c>
      <c r="R11" s="109">
        <f t="shared" si="2"/>
        <v>48720.021276986634</v>
      </c>
      <c r="S11" s="23">
        <f t="shared" si="0"/>
        <v>6437.6527360295495</v>
      </c>
      <c r="T11" s="23">
        <f t="shared" si="0"/>
        <v>3300.1693337159827</v>
      </c>
      <c r="U11" s="41">
        <f>IF(SUM(R11:T11)=0,0,SUM(R11:T11)/'Sch AL-TOU Cust Fcst'!F10)</f>
        <v>4871.4869455610142</v>
      </c>
      <c r="V11" s="33">
        <f>'Sch AL-TOU Cust Fcst'!$G10*'Non-Residential TSM UC Adj'!R11</f>
        <v>0</v>
      </c>
      <c r="W11" s="33">
        <f>'Sch AL-TOU Cust Fcst'!$G10*'Non-Residential TSM UC Adj'!S11</f>
        <v>0</v>
      </c>
      <c r="X11" s="33">
        <f>'Sch AL-TOU Cust Fcst'!$G10*'Non-Residential TSM UC Adj'!T11</f>
        <v>0</v>
      </c>
      <c r="Y11" s="41">
        <f>IF(SUM(V11:X11)=0,0,SUM(V11:X11)/'Sch AL-TOU Cust Fcst'!G10)</f>
        <v>0</v>
      </c>
      <c r="Z11" s="33">
        <f>'Sch AL-TOU Cust Fcst'!$H10*'Non-Residential TSM UC Adj'!R11</f>
        <v>0</v>
      </c>
      <c r="AA11" s="33">
        <f>'Sch AL-TOU Cust Fcst'!$H10*'Non-Residential TSM UC Adj'!W11</f>
        <v>0</v>
      </c>
      <c r="AB11" s="33">
        <f>'Sch AL-TOU Cust Fcst'!$H10*'Non-Residential TSM UC Adj'!X11</f>
        <v>0</v>
      </c>
      <c r="AC11" s="41">
        <f>IF(SUM(Z11:AB11)=0,0,SUM(Z11:AB11)/'Sch AL-TOU Cust Fcst'!H10)</f>
        <v>0</v>
      </c>
      <c r="AD11" s="23">
        <f t="shared" si="3"/>
        <v>48720.021276986634</v>
      </c>
      <c r="AE11" s="23">
        <f t="shared" si="1"/>
        <v>6437.6527360295495</v>
      </c>
      <c r="AF11" s="23">
        <f t="shared" si="1"/>
        <v>3300.1693337159827</v>
      </c>
      <c r="AG11" s="41">
        <f>IF(SUM(AD11:AF11)=0,0,SUM(AD11:AF11)/'Sch AL-TOU Cust Fcst'!I10)</f>
        <v>4871.4869455610142</v>
      </c>
    </row>
    <row r="12" spans="1:33">
      <c r="A12" s="126" t="s">
        <v>8</v>
      </c>
      <c r="B12" s="109">
        <f>'Sch AL-TOU Cust Fcst'!$B11*'Non-Residential TSM UC Adj'!B12</f>
        <v>121942.43341076253</v>
      </c>
      <c r="C12" s="23">
        <f>'Sch AL-TOU Cust Fcst'!$B11*'Non-Residential TSM UC Adj'!C12</f>
        <v>10833.366203245349</v>
      </c>
      <c r="D12" s="23">
        <f>'Sch AL-TOU Cust Fcst'!$B11*'Non-Residential TSM UC Adj'!D12</f>
        <v>6006.2240901341593</v>
      </c>
      <c r="E12" s="41">
        <f>IF(SUM(B12:D12)=0,0,SUM(B12:D12)/'Sch AL-TOU Cust Fcst'!B11)</f>
        <v>5337.7701424670022</v>
      </c>
      <c r="F12" s="109">
        <f>'Sch AL-TOU Cust Fcst'!$C11*'Non-Residential TSM UC Adj'!F12</f>
        <v>84706.383554370099</v>
      </c>
      <c r="G12" s="23">
        <f>'Sch AL-TOU Cust Fcst'!$C11*'Non-Residential TSM UC Adj'!G12</f>
        <v>5611.4106428537398</v>
      </c>
      <c r="H12" s="23">
        <f>'Sch AL-TOU Cust Fcst'!$C11*'Non-Residential TSM UC Adj'!H12</f>
        <v>1782.1011437330455</v>
      </c>
      <c r="I12" s="41">
        <f>IF(SUM(F12:H12)=0,0,SUM(F12:H12)/'Sch AL-TOU Cust Fcst'!C11)</f>
        <v>15349.982556826146</v>
      </c>
      <c r="J12" s="109">
        <f>'Sch AL-TOU Cust Fcst'!$D11*'Non-Residential TSM UC Adj'!J12</f>
        <v>831280.51325580885</v>
      </c>
      <c r="K12" s="23">
        <f>'Sch AL-TOU Cust Fcst'!$D11*'Non-Residential TSM UC Adj'!K12</f>
        <v>52373.165999968238</v>
      </c>
      <c r="L12" s="23">
        <f>'Sch AL-TOU Cust Fcst'!$D11*'Non-Residential TSM UC Adj'!L12</f>
        <v>16632.944008175091</v>
      </c>
      <c r="M12" s="41">
        <f>IF(SUM(J12:L12)=0,0,SUM(J12:L12)/'Sch AL-TOU Cust Fcst'!D11)</f>
        <v>16076.546843999144</v>
      </c>
      <c r="N12" s="109">
        <f>'Sch AL-TOU Cust Fcst'!$E11*'Non-Residential TSM UC Adj'!N12</f>
        <v>70041.538189726241</v>
      </c>
      <c r="O12" s="23">
        <f>'Sch AL-TOU Cust Fcst'!$E11*'Non-Residential TSM UC Adj'!O12</f>
        <v>11222.82128570748</v>
      </c>
      <c r="P12" s="23">
        <f>'Sch AL-TOU Cust Fcst'!$E11*'Non-Residential TSM UC Adj'!P12</f>
        <v>3564.2022874660911</v>
      </c>
      <c r="Q12" s="41">
        <f>IF(SUM(N12:P12)=0,0,SUM(N12:P12)/'Sch AL-TOU Cust Fcst'!E11)</f>
        <v>7069.0468135749843</v>
      </c>
      <c r="R12" s="109">
        <f t="shared" si="2"/>
        <v>1107970.8684106676</v>
      </c>
      <c r="S12" s="23">
        <f t="shared" si="0"/>
        <v>80040.764131774806</v>
      </c>
      <c r="T12" s="23">
        <f t="shared" si="0"/>
        <v>27985.471529508388</v>
      </c>
      <c r="U12" s="41">
        <f>IF(SUM(R12:T12)=0,0,SUM(R12:T12)/'Sch AL-TOU Cust Fcst'!F11)</f>
        <v>12159.971040719511</v>
      </c>
      <c r="V12" s="33">
        <f>'Sch AL-TOU Cust Fcst'!$G11*'Non-Residential TSM UC Adj'!R12</f>
        <v>0</v>
      </c>
      <c r="W12" s="33">
        <f>'Sch AL-TOU Cust Fcst'!$G11*'Non-Residential TSM UC Adj'!S12</f>
        <v>6259.854625884439</v>
      </c>
      <c r="X12" s="33">
        <f>'Sch AL-TOU Cust Fcst'!$G11*'Non-Residential TSM UC Adj'!T12</f>
        <v>1710.5861540550486</v>
      </c>
      <c r="Y12" s="41">
        <f>IF(SUM(V12:X12)=0,0,SUM(V12:X12)/'Sch AL-TOU Cust Fcst'!G11)</f>
        <v>3985.2203899697438</v>
      </c>
      <c r="Z12" s="33">
        <f>'Sch AL-TOU Cust Fcst'!$H11*'Non-Residential TSM UC Adj'!R12</f>
        <v>0</v>
      </c>
      <c r="AA12" s="33">
        <f>'Sch AL-TOU Cust Fcst'!$H11*'Non-Residential TSM UC Adj'!W12</f>
        <v>0</v>
      </c>
      <c r="AB12" s="33">
        <f>'Sch AL-TOU Cust Fcst'!$H11*'Non-Residential TSM UC Adj'!X12</f>
        <v>0</v>
      </c>
      <c r="AC12" s="41">
        <f>IF(SUM(Z12:AB12)=0,0,SUM(Z12:AB12)/'Sch AL-TOU Cust Fcst'!H11)</f>
        <v>0</v>
      </c>
      <c r="AD12" s="23">
        <f t="shared" si="3"/>
        <v>1107970.8684106676</v>
      </c>
      <c r="AE12" s="23">
        <f t="shared" si="1"/>
        <v>86300.618757659249</v>
      </c>
      <c r="AF12" s="23">
        <f t="shared" si="1"/>
        <v>29696.057683563435</v>
      </c>
      <c r="AG12" s="41">
        <f>IF(SUM(AD12:AF12)=0,0,SUM(AD12:AF12)/'Sch AL-TOU Cust Fcst'!I11)</f>
        <v>11999.681812273435</v>
      </c>
    </row>
    <row r="13" spans="1:33">
      <c r="A13" s="126" t="s">
        <v>9</v>
      </c>
      <c r="B13" s="109">
        <f>'Sch AL-TOU Cust Fcst'!$B12*'Non-Residential TSM UC Adj'!B13</f>
        <v>82401.294063634763</v>
      </c>
      <c r="C13" s="23">
        <f>'Sch AL-TOU Cust Fcst'!$B12*'Non-Residential TSM UC Adj'!C13</f>
        <v>10740.81637760139</v>
      </c>
      <c r="D13" s="23">
        <f>'Sch AL-TOU Cust Fcst'!$B12*'Non-Residential TSM UC Adj'!D13</f>
        <v>3696.1379016210212</v>
      </c>
      <c r="E13" s="41">
        <f>IF(SUM(B13:D13)=0,0,SUM(B13:D13)/'Sch AL-TOU Cust Fcst'!B12)</f>
        <v>6052.3905214285733</v>
      </c>
      <c r="F13" s="109">
        <f>'Sch AL-TOU Cust Fcst'!$C12*'Non-Residential TSM UC Adj'!F13</f>
        <v>42353.191777185049</v>
      </c>
      <c r="G13" s="23">
        <f>'Sch AL-TOU Cust Fcst'!$C12*'Non-Residential TSM UC Adj'!G13</f>
        <v>4321.6498045209801</v>
      </c>
      <c r="H13" s="23">
        <f>'Sch AL-TOU Cust Fcst'!$C12*'Non-Residential TSM UC Adj'!H13</f>
        <v>891.05057186652277</v>
      </c>
      <c r="I13" s="41">
        <f>IF(SUM(F13:H13)=0,0,SUM(F13:H13)/'Sch AL-TOU Cust Fcst'!C12)</f>
        <v>15855.297384524185</v>
      </c>
      <c r="J13" s="109">
        <f>'Sch AL-TOU Cust Fcst'!$D12*'Non-Residential TSM UC Adj'!J13</f>
        <v>950034.87229235296</v>
      </c>
      <c r="K13" s="23">
        <f>'Sch AL-TOU Cust Fcst'!$D12*'Non-Residential TSM UC Adj'!K13</f>
        <v>92195.195829780903</v>
      </c>
      <c r="L13" s="23">
        <f>'Sch AL-TOU Cust Fcst'!$D12*'Non-Residential TSM UC Adj'!L13</f>
        <v>19009.078866485819</v>
      </c>
      <c r="M13" s="41">
        <f>IF(SUM(J13:L13)=0,0,SUM(J13:L13)/'Sch AL-TOU Cust Fcst'!D12)</f>
        <v>16581.861671697181</v>
      </c>
      <c r="N13" s="109">
        <f>'Sch AL-TOU Cust Fcst'!$E12*'Non-Residential TSM UC Adj'!N13</f>
        <v>113817.49955830513</v>
      </c>
      <c r="O13" s="23">
        <f>'Sch AL-TOU Cust Fcst'!$E12*'Non-Residential TSM UC Adj'!O13</f>
        <v>12158.056392849769</v>
      </c>
      <c r="P13" s="23">
        <f>'Sch AL-TOU Cust Fcst'!$E12*'Non-Residential TSM UC Adj'!P13</f>
        <v>3861.2191447549321</v>
      </c>
      <c r="Q13" s="41">
        <f>IF(SUM(N13:P13)=0,0,SUM(N13:P13)/'Sch AL-TOU Cust Fcst'!E12)</f>
        <v>9987.4442381469107</v>
      </c>
      <c r="R13" s="109">
        <f t="shared" si="2"/>
        <v>1188606.857691478</v>
      </c>
      <c r="S13" s="23">
        <f t="shared" si="0"/>
        <v>119415.71840475305</v>
      </c>
      <c r="T13" s="23">
        <f t="shared" si="0"/>
        <v>27457.486484728295</v>
      </c>
      <c r="U13" s="41">
        <f>IF(SUM(R13:T13)=0,0,SUM(R13:T13)/'Sch AL-TOU Cust Fcst'!F12)</f>
        <v>13911.250651884993</v>
      </c>
      <c r="V13" s="33">
        <f>'Sch AL-TOU Cust Fcst'!$G12*'Non-Residential TSM UC Adj'!R13</f>
        <v>0</v>
      </c>
      <c r="W13" s="33">
        <f>'Sch AL-TOU Cust Fcst'!$G12*'Non-Residential TSM UC Adj'!S13</f>
        <v>0</v>
      </c>
      <c r="X13" s="33">
        <f>'Sch AL-TOU Cust Fcst'!$G12*'Non-Residential TSM UC Adj'!T13</f>
        <v>0</v>
      </c>
      <c r="Y13" s="41">
        <f>IF(SUM(V13:X13)=0,0,SUM(V13:X13)/'Sch AL-TOU Cust Fcst'!G12)</f>
        <v>0</v>
      </c>
      <c r="Z13" s="33">
        <f>'Sch AL-TOU Cust Fcst'!$H12*'Non-Residential TSM UC Adj'!R13</f>
        <v>0</v>
      </c>
      <c r="AA13" s="33">
        <f>'Sch AL-TOU Cust Fcst'!$H12*'Non-Residential TSM UC Adj'!W13</f>
        <v>0</v>
      </c>
      <c r="AB13" s="33">
        <f>'Sch AL-TOU Cust Fcst'!$H12*'Non-Residential TSM UC Adj'!X13</f>
        <v>0</v>
      </c>
      <c r="AC13" s="41">
        <f>IF(SUM(Z13:AB13)=0,0,SUM(Z13:AB13)/'Sch AL-TOU Cust Fcst'!H12)</f>
        <v>0</v>
      </c>
      <c r="AD13" s="23">
        <f t="shared" si="3"/>
        <v>1188606.857691478</v>
      </c>
      <c r="AE13" s="23">
        <f t="shared" si="1"/>
        <v>119415.71840475305</v>
      </c>
      <c r="AF13" s="23">
        <f t="shared" si="1"/>
        <v>27457.486484728295</v>
      </c>
      <c r="AG13" s="41">
        <f>IF(SUM(AD13:AF13)=0,0,SUM(AD13:AF13)/'Sch AL-TOU Cust Fcst'!I12)</f>
        <v>13911.250651884993</v>
      </c>
    </row>
    <row r="14" spans="1:33">
      <c r="A14" s="126" t="s">
        <v>10</v>
      </c>
      <c r="B14" s="109">
        <f>'Sch AL-TOU Cust Fcst'!$B13*'Non-Residential TSM UC Adj'!B14</f>
        <v>4936.206559466149</v>
      </c>
      <c r="C14" s="23">
        <f>'Sch AL-TOU Cust Fcst'!$B13*'Non-Residential TSM UC Adj'!C14</f>
        <v>1276.372447066306</v>
      </c>
      <c r="D14" s="23">
        <f>'Sch AL-TOU Cust Fcst'!$B13*'Non-Residential TSM UC Adj'!D14</f>
        <v>231.00861885131383</v>
      </c>
      <c r="E14" s="41">
        <f>IF(SUM(B14:D14)=0,0,SUM(B14:D14)/'Sch AL-TOU Cust Fcst'!B13)</f>
        <v>6443.5876253837687</v>
      </c>
      <c r="F14" s="109">
        <f>'Sch AL-TOU Cust Fcst'!$C13*'Non-Residential TSM UC Adj'!F14</f>
        <v>8339.1934513193628</v>
      </c>
      <c r="G14" s="23">
        <f>'Sch AL-TOU Cust Fcst'!$C13*'Non-Residential TSM UC Adj'!G14</f>
        <v>1440.5499348403266</v>
      </c>
      <c r="H14" s="23">
        <f>'Sch AL-TOU Cust Fcst'!$C13*'Non-Residential TSM UC Adj'!H14</f>
        <v>297.01685728884092</v>
      </c>
      <c r="I14" s="41">
        <f>IF(SUM(F14:H14)=0,0,SUM(F14:H14)/'Sch AL-TOU Cust Fcst'!C13)</f>
        <v>10076.760243448531</v>
      </c>
      <c r="J14" s="109">
        <f>'Sch AL-TOU Cust Fcst'!$D13*'Non-Residential TSM UC Adj'!J14</f>
        <v>378291.72411167983</v>
      </c>
      <c r="K14" s="23">
        <f>'Sch AL-TOU Cust Fcst'!$D13*'Non-Residential TSM UC Adj'!K14</f>
        <v>63384.197132974368</v>
      </c>
      <c r="L14" s="23">
        <f>'Sch AL-TOU Cust Fcst'!$D13*'Non-Residential TSM UC Adj'!L14</f>
        <v>13068.741720709</v>
      </c>
      <c r="M14" s="41">
        <f>IF(SUM(J14:L14)=0,0,SUM(J14:L14)/'Sch AL-TOU Cust Fcst'!D13)</f>
        <v>10335.105976485529</v>
      </c>
      <c r="N14" s="109">
        <f>'Sch AL-TOU Cust Fcst'!$E13*'Non-Residential TSM UC Adj'!N14</f>
        <v>87551.922737157802</v>
      </c>
      <c r="O14" s="23">
        <f>'Sch AL-TOU Cust Fcst'!$E13*'Non-Residential TSM UC Adj'!O14</f>
        <v>14405.499348403266</v>
      </c>
      <c r="P14" s="23">
        <f>'Sch AL-TOU Cust Fcst'!$E13*'Non-Residential TSM UC Adj'!P14</f>
        <v>2970.1685728884095</v>
      </c>
      <c r="Q14" s="41">
        <f>IF(SUM(N14:P14)=0,0,SUM(N14:P14)/'Sch AL-TOU Cust Fcst'!E13)</f>
        <v>10492.759065844946</v>
      </c>
      <c r="R14" s="109">
        <f t="shared" si="2"/>
        <v>479119.04685962311</v>
      </c>
      <c r="S14" s="23">
        <f t="shared" si="0"/>
        <v>80506.618863284268</v>
      </c>
      <c r="T14" s="23">
        <f t="shared" si="0"/>
        <v>16566.935769737567</v>
      </c>
      <c r="U14" s="41">
        <f>IF(SUM(R14:T14)=0,0,SUM(R14:T14)/'Sch AL-TOU Cust Fcst'!F13)</f>
        <v>10289.153598082947</v>
      </c>
      <c r="V14" s="33">
        <f>'Sch AL-TOU Cust Fcst'!$G13*'Non-Residential TSM UC Adj'!R14</f>
        <v>0</v>
      </c>
      <c r="W14" s="33">
        <f>'Sch AL-TOU Cust Fcst'!$G13*'Non-Residential TSM UC Adj'!S14</f>
        <v>0</v>
      </c>
      <c r="X14" s="33">
        <f>'Sch AL-TOU Cust Fcst'!$G13*'Non-Residential TSM UC Adj'!T14</f>
        <v>0</v>
      </c>
      <c r="Y14" s="41">
        <f>IF(SUM(V14:X14)=0,0,SUM(V14:X14)/'Sch AL-TOU Cust Fcst'!G13)</f>
        <v>0</v>
      </c>
      <c r="Z14" s="33">
        <f>'Sch AL-TOU Cust Fcst'!$H13*'Non-Residential TSM UC Adj'!R14</f>
        <v>0</v>
      </c>
      <c r="AA14" s="33">
        <f>'Sch AL-TOU Cust Fcst'!$H13*'Non-Residential TSM UC Adj'!W14</f>
        <v>0</v>
      </c>
      <c r="AB14" s="33">
        <f>'Sch AL-TOU Cust Fcst'!$H13*'Non-Residential TSM UC Adj'!X14</f>
        <v>0</v>
      </c>
      <c r="AC14" s="41">
        <f>IF(SUM(Z14:AB14)=0,0,SUM(Z14:AB14)/'Sch AL-TOU Cust Fcst'!H13)</f>
        <v>0</v>
      </c>
      <c r="AD14" s="23">
        <f t="shared" si="3"/>
        <v>479119.04685962311</v>
      </c>
      <c r="AE14" s="23">
        <f t="shared" si="1"/>
        <v>80506.618863284268</v>
      </c>
      <c r="AF14" s="23">
        <f t="shared" si="1"/>
        <v>16566.935769737567</v>
      </c>
      <c r="AG14" s="41">
        <f>IF(SUM(AD14:AF14)=0,0,SUM(AD14:AF14)/'Sch AL-TOU Cust Fcst'!I13)</f>
        <v>10289.153598082947</v>
      </c>
    </row>
    <row r="15" spans="1:33">
      <c r="A15" s="126" t="s">
        <v>11</v>
      </c>
      <c r="B15" s="109">
        <f>'Sch AL-TOU Cust Fcst'!$B14*'Non-Residential TSM UC Adj'!B15</f>
        <v>9872.4131189322979</v>
      </c>
      <c r="C15" s="23">
        <f>'Sch AL-TOU Cust Fcst'!$B14*'Non-Residential TSM UC Adj'!C15</f>
        <v>3762.8877410650498</v>
      </c>
      <c r="D15" s="23">
        <f>'Sch AL-TOU Cust Fcst'!$B14*'Non-Residential TSM UC Adj'!D15</f>
        <v>462.01723770262765</v>
      </c>
      <c r="E15" s="41">
        <f>IF(SUM(B15:D15)=0,0,SUM(B15:D15)/'Sch AL-TOU Cust Fcst'!B14)</f>
        <v>7048.6590488499878</v>
      </c>
      <c r="F15" s="109">
        <f>'Sch AL-TOU Cust Fcst'!$C14*'Non-Residential TSM UC Adj'!F15</f>
        <v>8339.1934513193628</v>
      </c>
      <c r="G15" s="23">
        <f>'Sch AL-TOU Cust Fcst'!$C14*'Non-Residential TSM UC Adj'!G15</f>
        <v>2881.0998696806532</v>
      </c>
      <c r="H15" s="23">
        <f>'Sch AL-TOU Cust Fcst'!$C14*'Non-Residential TSM UC Adj'!H15</f>
        <v>855.2930770275243</v>
      </c>
      <c r="I15" s="41">
        <f>IF(SUM(F15:H15)=0,0,SUM(F15:H15)/'Sch AL-TOU Cust Fcst'!C14)</f>
        <v>12075.586398027539</v>
      </c>
      <c r="J15" s="109">
        <f>'Sch AL-TOU Cust Fcst'!$D14*'Non-Residential TSM UC Adj'!J15</f>
        <v>1392801.3478657303</v>
      </c>
      <c r="K15" s="23">
        <f>'Sch AL-TOU Cust Fcst'!$D14*'Non-Residential TSM UC Adj'!K15</f>
        <v>233369.0894441329</v>
      </c>
      <c r="L15" s="23">
        <f>'Sch AL-TOU Cust Fcst'!$D14*'Non-Residential TSM UC Adj'!L15</f>
        <v>69278.739239229471</v>
      </c>
      <c r="M15" s="41">
        <f>IF(SUM(J15:L15)=0,0,SUM(J15:L15)/'Sch AL-TOU Cust Fcst'!D14)</f>
        <v>20931.471315420898</v>
      </c>
      <c r="N15" s="109">
        <f>'Sch AL-TOU Cust Fcst'!$E14*'Non-Residential TSM UC Adj'!N15</f>
        <v>350207.69094863121</v>
      </c>
      <c r="O15" s="23">
        <f>'Sch AL-TOU Cust Fcst'!$E14*'Non-Residential TSM UC Adj'!O15</f>
        <v>28810.998696806531</v>
      </c>
      <c r="P15" s="23">
        <f>'Sch AL-TOU Cust Fcst'!$E14*'Non-Residential TSM UC Adj'!P15</f>
        <v>17105.861540550486</v>
      </c>
      <c r="Q15" s="41">
        <f>IF(SUM(N15:P15)=0,0,SUM(N15:P15)/'Sch AL-TOU Cust Fcst'!E14)</f>
        <v>19806.227559299412</v>
      </c>
      <c r="R15" s="109">
        <f t="shared" si="2"/>
        <v>1761220.6453846132</v>
      </c>
      <c r="S15" s="23">
        <f t="shared" si="0"/>
        <v>268824.07575168513</v>
      </c>
      <c r="T15" s="23">
        <f t="shared" si="0"/>
        <v>87701.911094510113</v>
      </c>
      <c r="U15" s="41">
        <f>IF(SUM(R15:T15)=0,0,SUM(R15:T15)/'Sch AL-TOU Cust Fcst'!F14)</f>
        <v>20362.948386834698</v>
      </c>
      <c r="V15" s="33">
        <f>'Sch AL-TOU Cust Fcst'!$G14*'Non-Residential TSM UC Adj'!R15</f>
        <v>0</v>
      </c>
      <c r="W15" s="33">
        <f>'Sch AL-TOU Cust Fcst'!$G14*'Non-Residential TSM UC Adj'!S15</f>
        <v>15649.636564711098</v>
      </c>
      <c r="X15" s="33">
        <f>'Sch AL-TOU Cust Fcst'!$G14*'Non-Residential TSM UC Adj'!T15</f>
        <v>4783.9598166381975</v>
      </c>
      <c r="Y15" s="41">
        <f>IF(SUM(V15:X15)=0,0,SUM(V15:X15)/'Sch AL-TOU Cust Fcst'!G14)</f>
        <v>4086.7192762698592</v>
      </c>
      <c r="Z15" s="33">
        <f>'Sch AL-TOU Cust Fcst'!$H14*'Non-Residential TSM UC Adj'!R15</f>
        <v>0</v>
      </c>
      <c r="AA15" s="33">
        <f>'Sch AL-TOU Cust Fcst'!$H14*'Non-Residential TSM UC Adj'!W15</f>
        <v>0</v>
      </c>
      <c r="AB15" s="33">
        <f>'Sch AL-TOU Cust Fcst'!$H14*'Non-Residential TSM UC Adj'!X15</f>
        <v>0</v>
      </c>
      <c r="AC15" s="41">
        <f>IF(SUM(Z15:AB15)=0,0,SUM(Z15:AB15)/'Sch AL-TOU Cust Fcst'!H14)</f>
        <v>0</v>
      </c>
      <c r="AD15" s="23">
        <f t="shared" si="3"/>
        <v>1761220.6453846132</v>
      </c>
      <c r="AE15" s="23">
        <f t="shared" si="1"/>
        <v>284473.71231639624</v>
      </c>
      <c r="AF15" s="23">
        <f t="shared" si="1"/>
        <v>92485.870911148304</v>
      </c>
      <c r="AG15" s="41">
        <f>IF(SUM(AD15:AF15)=0,0,SUM(AD15:AF15)/'Sch AL-TOU Cust Fcst'!I14)</f>
        <v>19616.3323725886</v>
      </c>
    </row>
    <row r="16" spans="1:33">
      <c r="A16" s="126" t="s">
        <v>106</v>
      </c>
      <c r="B16" s="109">
        <f>'Sch AL-TOU Cust Fcst'!$B15*'Non-Residential TSM UC Adj'!B16</f>
        <v>6972.3309833234607</v>
      </c>
      <c r="C16" s="23">
        <f>'Sch AL-TOU Cust Fcst'!$B15*'Non-Residential TSM UC Adj'!C16</f>
        <v>1881.4438705325249</v>
      </c>
      <c r="D16" s="23">
        <f>'Sch AL-TOU Cust Fcst'!$B15*'Non-Residential TSM UC Adj'!D16</f>
        <v>231.00861885131383</v>
      </c>
      <c r="E16" s="41">
        <f>IF(SUM(B16:D16)=0,0,SUM(B16:D16)/'Sch AL-TOU Cust Fcst'!B15)</f>
        <v>9084.7834727073005</v>
      </c>
      <c r="F16" s="109">
        <f>'Sch AL-TOU Cust Fcst'!$C15*'Non-Residential TSM UC Adj'!F16</f>
        <v>16678.386902638726</v>
      </c>
      <c r="G16" s="23">
        <f>'Sch AL-TOU Cust Fcst'!$C15*'Non-Residential TSM UC Adj'!G16</f>
        <v>3881.3806159244828</v>
      </c>
      <c r="H16" s="23">
        <f>'Sch AL-TOU Cust Fcst'!$C15*'Non-Residential TSM UC Adj'!H16</f>
        <v>855.2930770275243</v>
      </c>
      <c r="I16" s="41">
        <f>IF(SUM(F16:H16)=0,0,SUM(F16:H16)/'Sch AL-TOU Cust Fcst'!C15)</f>
        <v>21415.06059559073</v>
      </c>
      <c r="J16" s="109">
        <f>'Sch AL-TOU Cust Fcst'!$D15*'Non-Residential TSM UC Adj'!J16</f>
        <v>833130.9003567528</v>
      </c>
      <c r="K16" s="23">
        <f>'Sch AL-TOU Cust Fcst'!$D15*'Non-Residential TSM UC Adj'!K16</f>
        <v>333798.73296950554</v>
      </c>
      <c r="L16" s="23">
        <f>'Sch AL-TOU Cust Fcst'!$D15*'Non-Residential TSM UC Adj'!L16</f>
        <v>73555.204624367092</v>
      </c>
      <c r="M16" s="41">
        <f>IF(SUM(J16:L16)=0,0,SUM(J16:L16)/'Sch AL-TOU Cust Fcst'!D15)</f>
        <v>14424.242301751459</v>
      </c>
      <c r="N16" s="109">
        <f>'Sch AL-TOU Cust Fcst'!$E15*'Non-Residential TSM UC Adj'!N16</f>
        <v>476918.28004753601</v>
      </c>
      <c r="O16" s="23">
        <f>'Sch AL-TOU Cust Fcst'!$E15*'Non-Residential TSM UC Adj'!O16</f>
        <v>100915.89601403655</v>
      </c>
      <c r="P16" s="23">
        <f>'Sch AL-TOU Cust Fcst'!$E15*'Non-Residential TSM UC Adj'!P16</f>
        <v>44475.24000543126</v>
      </c>
      <c r="Q16" s="41">
        <f>IF(SUM(N16:P16)=0,0,SUM(N16:P16)/'Sch AL-TOU Cust Fcst'!E15)</f>
        <v>11967.488770519303</v>
      </c>
      <c r="R16" s="109">
        <f t="shared" si="2"/>
        <v>1333699.8982902509</v>
      </c>
      <c r="S16" s="23">
        <f t="shared" si="0"/>
        <v>440477.45346999908</v>
      </c>
      <c r="T16" s="23">
        <f t="shared" si="0"/>
        <v>119116.74632567719</v>
      </c>
      <c r="U16" s="41">
        <f>IF(SUM(R16:T16)=0,0,SUM(R16:T16)/'Sch AL-TOU Cust Fcst'!F15)</f>
        <v>13523.529272042339</v>
      </c>
      <c r="V16" s="33">
        <f>'Sch AL-TOU Cust Fcst'!$G15*'Non-Residential TSM UC Adj'!R16</f>
        <v>0</v>
      </c>
      <c r="W16" s="33">
        <f>'Sch AL-TOU Cust Fcst'!$G15*'Non-Residential TSM UC Adj'!S16</f>
        <v>18779.563877653316</v>
      </c>
      <c r="X16" s="33">
        <f>'Sch AL-TOU Cust Fcst'!$G15*'Non-Residential TSM UC Adj'!T16</f>
        <v>5740.7517799658372</v>
      </c>
      <c r="Y16" s="41">
        <f>IF(SUM(V16:X16)=0,0,SUM(V16:X16)/'Sch AL-TOU Cust Fcst'!G15)</f>
        <v>4086.7192762698592</v>
      </c>
      <c r="Z16" s="33">
        <f>'Sch AL-TOU Cust Fcst'!$H15*'Non-Residential TSM UC Adj'!R16</f>
        <v>0</v>
      </c>
      <c r="AA16" s="33">
        <f>'Sch AL-TOU Cust Fcst'!$H15*'Non-Residential TSM UC Adj'!W16</f>
        <v>0</v>
      </c>
      <c r="AB16" s="33">
        <f>'Sch AL-TOU Cust Fcst'!$H15*'Non-Residential TSM UC Adj'!X16</f>
        <v>0</v>
      </c>
      <c r="AC16" s="41">
        <f>IF(SUM(Z16:AB16)=0,0,SUM(Z16:AB16)/'Sch AL-TOU Cust Fcst'!H15)</f>
        <v>0</v>
      </c>
      <c r="AD16" s="23">
        <f t="shared" si="3"/>
        <v>1333699.8982902509</v>
      </c>
      <c r="AE16" s="23">
        <f t="shared" si="1"/>
        <v>459257.01734765241</v>
      </c>
      <c r="AF16" s="23">
        <f t="shared" si="1"/>
        <v>124857.49810564303</v>
      </c>
      <c r="AG16" s="41">
        <f>IF(SUM(AD16:AF16)=0,0,SUM(AD16:AF16)/'Sch AL-TOU Cust Fcst'!I15)</f>
        <v>13135.71516262703</v>
      </c>
    </row>
    <row r="17" spans="1:33">
      <c r="A17" s="126" t="s">
        <v>107</v>
      </c>
      <c r="B17" s="109">
        <f>'Sch AL-TOU Cust Fcst'!$B16*'Non-Residential TSM UC Adj'!J17</f>
        <v>0</v>
      </c>
      <c r="C17" s="23">
        <f>'Sch AL-TOU Cust Fcst'!$B16*'Non-Residential TSM UC Adj'!K17</f>
        <v>0</v>
      </c>
      <c r="D17" s="23">
        <f>'Sch AL-TOU Cust Fcst'!$B16*'Non-Residential TSM UC Adj'!L17</f>
        <v>0</v>
      </c>
      <c r="E17" s="41">
        <f>IF(SUM(B17:D17)=0,0,SUM(B17:D17)/'Sch AL-TOU Cust Fcst'!B16)</f>
        <v>0</v>
      </c>
      <c r="F17" s="109">
        <f>'Sch AL-TOU Cust Fcst'!$C16*'Non-Residential TSM UC Adj'!F17</f>
        <v>0</v>
      </c>
      <c r="G17" s="23">
        <f>'Sch AL-TOU Cust Fcst'!$C16*'Non-Residential TSM UC Adj'!G17</f>
        <v>0</v>
      </c>
      <c r="H17" s="23">
        <f>'Sch AL-TOU Cust Fcst'!$C16*'Non-Residential TSM UC Adj'!H17</f>
        <v>0</v>
      </c>
      <c r="I17" s="41">
        <f>IF(SUM(F17:H17)=0,0,SUM(F17:H17)/'Sch AL-TOU Cust Fcst'!C16)</f>
        <v>0</v>
      </c>
      <c r="J17" s="109">
        <f>'Sch AL-TOU Cust Fcst'!$D16*'Non-Residential TSM UC Adj'!J17</f>
        <v>581254.11652796704</v>
      </c>
      <c r="K17" s="23">
        <f>'Sch AL-TOU Cust Fcst'!$D16*'Non-Residential TSM UC Adj'!K17</f>
        <v>232882.83695546896</v>
      </c>
      <c r="L17" s="23">
        <f>'Sch AL-TOU Cust Fcst'!$D16*'Non-Residential TSM UC Adj'!L17</f>
        <v>51317.584621651462</v>
      </c>
      <c r="M17" s="41">
        <f>IF(SUM(J17:L17)=0,0,SUM(J17:L17)/'Sch AL-TOU Cust Fcst'!D16)</f>
        <v>14424.242301751457</v>
      </c>
      <c r="N17" s="109">
        <f>'Sch AL-TOU Cust Fcst'!$E16*'Non-Residential TSM UC Adj'!N17</f>
        <v>394374.7315777702</v>
      </c>
      <c r="O17" s="23">
        <f>'Sch AL-TOU Cust Fcst'!$E16*'Non-Residential TSM UC Adj'!O17</f>
        <v>83449.683242376384</v>
      </c>
      <c r="P17" s="23">
        <f>'Sch AL-TOU Cust Fcst'!$E16*'Non-Residential TSM UC Adj'!P17</f>
        <v>36777.602312183546</v>
      </c>
      <c r="Q17" s="41">
        <f>IF(SUM(N17:P17)=0,0,SUM(N17:P17)/'Sch AL-TOU Cust Fcst'!E16)</f>
        <v>11967.488770519305</v>
      </c>
      <c r="R17" s="109">
        <f t="shared" si="2"/>
        <v>975628.84810573724</v>
      </c>
      <c r="S17" s="23">
        <f t="shared" si="0"/>
        <v>316332.52019784536</v>
      </c>
      <c r="T17" s="23">
        <f t="shared" si="0"/>
        <v>88095.186933835008</v>
      </c>
      <c r="U17" s="41">
        <f>IF(SUM(R17:T17)=0,0,SUM(R17:T17)/'Sch AL-TOU Cust Fcst'!F16)</f>
        <v>13398.607332402113</v>
      </c>
      <c r="V17" s="33">
        <f>'Sch AL-TOU Cust Fcst'!$G16*'Non-Residential TSM UC Adj'!R17</f>
        <v>0</v>
      </c>
      <c r="W17" s="33">
        <f>'Sch AL-TOU Cust Fcst'!$G16*'Non-Residential TSM UC Adj'!S17</f>
        <v>18779.563877653316</v>
      </c>
      <c r="X17" s="33">
        <f>'Sch AL-TOU Cust Fcst'!$G16*'Non-Residential TSM UC Adj'!T17</f>
        <v>5740.7517799658372</v>
      </c>
      <c r="Y17" s="41">
        <f>IF(SUM(V17:X17)=0,0,SUM(V17:X17)/'Sch AL-TOU Cust Fcst'!G16)</f>
        <v>4086.7192762698592</v>
      </c>
      <c r="Z17" s="33">
        <f>'Sch AL-TOU Cust Fcst'!$H16*'Non-Residential TSM UC Adj'!R17</f>
        <v>0</v>
      </c>
      <c r="AA17" s="33">
        <f>'Sch AL-TOU Cust Fcst'!$H16*'Non-Residential TSM UC Adj'!W17</f>
        <v>0</v>
      </c>
      <c r="AB17" s="33">
        <f>'Sch AL-TOU Cust Fcst'!$H16*'Non-Residential TSM UC Adj'!X17</f>
        <v>0</v>
      </c>
      <c r="AC17" s="41">
        <f>IF(SUM(Z17:AB17)=0,0,SUM(Z17:AB17)/'Sch AL-TOU Cust Fcst'!H16)</f>
        <v>0</v>
      </c>
      <c r="AD17" s="23">
        <f t="shared" si="3"/>
        <v>975628.84810573724</v>
      </c>
      <c r="AE17" s="23">
        <f t="shared" si="1"/>
        <v>335112.08407549869</v>
      </c>
      <c r="AF17" s="23">
        <f t="shared" si="1"/>
        <v>93835.938713800846</v>
      </c>
      <c r="AG17" s="41">
        <f>IF(SUM(AD17:AF17)=0,0,SUM(AD17:AF17)/'Sch AL-TOU Cust Fcst'!I16)</f>
        <v>12886.026338486576</v>
      </c>
    </row>
    <row r="18" spans="1:33">
      <c r="A18" s="126" t="s">
        <v>12</v>
      </c>
      <c r="B18" s="109">
        <f>'Sch AL-TOU Cust Fcst'!$B17*'Non-Residential TSM UC Adj'!J18</f>
        <v>0</v>
      </c>
      <c r="C18" s="23">
        <f>'Sch AL-TOU Cust Fcst'!$B17*'Non-Residential TSM UC Adj'!K18</f>
        <v>0</v>
      </c>
      <c r="D18" s="23">
        <f>'Sch AL-TOU Cust Fcst'!$B17*'Non-Residential TSM UC Adj'!L18</f>
        <v>0</v>
      </c>
      <c r="E18" s="41">
        <f>IF(SUM(B18:D18)=0,0,SUM(B18:D18)/'Sch AL-TOU Cust Fcst'!B17)</f>
        <v>0</v>
      </c>
      <c r="F18" s="109">
        <f>'Sch AL-TOU Cust Fcst'!$C17*'Non-Residential TSM UC Adj'!J18</f>
        <v>0</v>
      </c>
      <c r="G18" s="23">
        <f>'Sch AL-TOU Cust Fcst'!$C17*'Non-Residential TSM UC Adj'!K18</f>
        <v>0</v>
      </c>
      <c r="H18" s="23">
        <f>'Sch AL-TOU Cust Fcst'!$C17*'Non-Residential TSM UC Adj'!L18</f>
        <v>0</v>
      </c>
      <c r="I18" s="41">
        <f>IF(SUM(F18:H18)=0,0,SUM(F18:H18)/'Sch AL-TOU Cust Fcst'!C17)</f>
        <v>0</v>
      </c>
      <c r="J18" s="109">
        <f>'Sch AL-TOU Cust Fcst'!$D17*'Non-Residential TSM UC Adj'!J18</f>
        <v>406877.88156957692</v>
      </c>
      <c r="K18" s="23">
        <f>'Sch AL-TOU Cust Fcst'!$D17*'Non-Residential TSM UC Adj'!K18</f>
        <v>132980.02221372753</v>
      </c>
      <c r="L18" s="23">
        <f>'Sch AL-TOU Cust Fcst'!$D17*'Non-Residential TSM UC Adj'!L18</f>
        <v>17961.154617578009</v>
      </c>
      <c r="M18" s="41">
        <f>IF(SUM(J18:L18)=0,0,SUM(J18:L18)/'Sch AL-TOU Cust Fcst'!D17)</f>
        <v>26562.812304803923</v>
      </c>
      <c r="N18" s="109">
        <f>'Sch AL-TOU Cust Fcst'!$E17*'Non-Residential TSM UC Adj'!N18</f>
        <v>1504126.8832268445</v>
      </c>
      <c r="O18" s="23">
        <f>'Sch AL-TOU Cust Fcst'!$E17*'Non-Residential TSM UC Adj'!O18</f>
        <v>259627.66241727758</v>
      </c>
      <c r="P18" s="23">
        <f>'Sch AL-TOU Cust Fcst'!$E17*'Non-Residential TSM UC Adj'!P18</f>
        <v>70134.032316256998</v>
      </c>
      <c r="Q18" s="41">
        <f>IF(SUM(N18:P18)=0,0,SUM(N18:P18)/'Sch AL-TOU Cust Fcst'!E17)</f>
        <v>22364.494853175354</v>
      </c>
      <c r="R18" s="109">
        <f t="shared" si="2"/>
        <v>1911004.7647964214</v>
      </c>
      <c r="S18" s="23">
        <f t="shared" si="0"/>
        <v>392607.6846310051</v>
      </c>
      <c r="T18" s="23">
        <f t="shared" si="0"/>
        <v>88095.186933835008</v>
      </c>
      <c r="U18" s="41">
        <f>IF(SUM(R18:T18)=0,0,SUM(R18:T18)/'Sch AL-TOU Cust Fcst'!F17)</f>
        <v>23220.462488944286</v>
      </c>
      <c r="V18" s="33">
        <f>'Sch AL-TOU Cust Fcst'!$G17*'Non-Residential TSM UC Adj'!R18</f>
        <v>0</v>
      </c>
      <c r="W18" s="33">
        <f>'Sch AL-TOU Cust Fcst'!$G17*'Non-Residential TSM UC Adj'!S18</f>
        <v>9389.781938826658</v>
      </c>
      <c r="X18" s="33">
        <f>'Sch AL-TOU Cust Fcst'!$G17*'Non-Residential TSM UC Adj'!T18</f>
        <v>2870.3758899829186</v>
      </c>
      <c r="Y18" s="41">
        <f>IF(SUM(V18:X18)=0,0,SUM(V18:X18)/'Sch AL-TOU Cust Fcst'!G17)</f>
        <v>4086.7192762698592</v>
      </c>
      <c r="Z18" s="33">
        <f>'Sch AL-TOU Cust Fcst'!$H17*'Non-Residential TSM UC Adj'!R18</f>
        <v>0</v>
      </c>
      <c r="AA18" s="33">
        <f>'Sch AL-TOU Cust Fcst'!$H17*'Non-Residential TSM UC Adj'!W18</f>
        <v>0</v>
      </c>
      <c r="AB18" s="33">
        <f>'Sch AL-TOU Cust Fcst'!$H17*'Non-Residential TSM UC Adj'!X18</f>
        <v>0</v>
      </c>
      <c r="AC18" s="41">
        <f>IF(SUM(Z18:AB18)=0,0,SUM(Z18:AB18)/'Sch AL-TOU Cust Fcst'!H17)</f>
        <v>0</v>
      </c>
      <c r="AD18" s="23">
        <f t="shared" si="3"/>
        <v>1911004.7647964214</v>
      </c>
      <c r="AE18" s="23">
        <f t="shared" si="1"/>
        <v>401997.46656983177</v>
      </c>
      <c r="AF18" s="23">
        <f t="shared" si="1"/>
        <v>90965.56282381792</v>
      </c>
      <c r="AG18" s="41">
        <f>IF(SUM(AD18:AF18)=0,0,SUM(AD18:AF18)/'Sch AL-TOU Cust Fcst'!I17)</f>
        <v>22678.941454623313</v>
      </c>
    </row>
    <row r="19" spans="1:33">
      <c r="A19" s="126" t="s">
        <v>13</v>
      </c>
      <c r="B19" s="109">
        <f>'Sch AL-TOU Cust Fcst'!$B18*'Non-Residential TSM UC Adj'!J19</f>
        <v>0</v>
      </c>
      <c r="C19" s="23">
        <f>'Sch AL-TOU Cust Fcst'!$B18*'Non-Residential TSM UC Adj'!K19</f>
        <v>0</v>
      </c>
      <c r="D19" s="23">
        <f>'Sch AL-TOU Cust Fcst'!$B18*'Non-Residential TSM UC Adj'!L19</f>
        <v>0</v>
      </c>
      <c r="E19" s="41">
        <f>IF(SUM(B19:D19)=0,0,SUM(B19:D19)/'Sch AL-TOU Cust Fcst'!B18)</f>
        <v>0</v>
      </c>
      <c r="F19" s="109">
        <f>'Sch AL-TOU Cust Fcst'!$C18*'Non-Residential TSM UC Adj'!J19</f>
        <v>0</v>
      </c>
      <c r="G19" s="23">
        <f>'Sch AL-TOU Cust Fcst'!$C18*'Non-Residential TSM UC Adj'!K19</f>
        <v>0</v>
      </c>
      <c r="H19" s="23">
        <f>'Sch AL-TOU Cust Fcst'!$C18*'Non-Residential TSM UC Adj'!L19</f>
        <v>0</v>
      </c>
      <c r="I19" s="41">
        <f>IF(SUM(F19:H19)=0,0,SUM(F19:H19)/'Sch AL-TOU Cust Fcst'!C18)</f>
        <v>0</v>
      </c>
      <c r="J19" s="109">
        <f>'Sch AL-TOU Cust Fcst'!$D18*'Non-Residential TSM UC Adj'!J19</f>
        <v>24812.70207798417</v>
      </c>
      <c r="K19" s="23">
        <f>'Sch AL-TOU Cust Fcst'!$D18*'Non-Residential TSM UC Adj'!K19</f>
        <v>18997.146030532505</v>
      </c>
      <c r="L19" s="23">
        <f>'Sch AL-TOU Cust Fcst'!$D18*'Non-Residential TSM UC Adj'!L19</f>
        <v>1710.5861540550486</v>
      </c>
      <c r="M19" s="41">
        <f>IF(SUM(J19:L19)=0,0,SUM(J19:L19)/'Sch AL-TOU Cust Fcst'!D18)</f>
        <v>22760.217131285859</v>
      </c>
      <c r="N19" s="109">
        <f>'Sch AL-TOU Cust Fcst'!$E18*'Non-Residential TSM UC Adj'!N19</f>
        <v>334971.47805278632</v>
      </c>
      <c r="O19" s="23">
        <f>'Sch AL-TOU Cust Fcst'!$E18*'Non-Residential TSM UC Adj'!O19</f>
        <v>104797.27662996104</v>
      </c>
      <c r="P19" s="23">
        <f>'Sch AL-TOU Cust Fcst'!$E18*'Non-Residential TSM UC Adj'!P19</f>
        <v>23092.913079743157</v>
      </c>
      <c r="Q19" s="41">
        <f>IF(SUM(N19:P19)=0,0,SUM(N19:P19)/'Sch AL-TOU Cust Fcst'!E18)</f>
        <v>17143.024731944093</v>
      </c>
      <c r="R19" s="109">
        <f t="shared" si="2"/>
        <v>359784.18013077049</v>
      </c>
      <c r="S19" s="23">
        <f t="shared" si="0"/>
        <v>123794.42266049354</v>
      </c>
      <c r="T19" s="23">
        <f t="shared" si="0"/>
        <v>24803.499233798204</v>
      </c>
      <c r="U19" s="41">
        <f>IF(SUM(R19:T19)=0,0,SUM(R19:T19)/'Sch AL-TOU Cust Fcst'!F18)</f>
        <v>17530.417311209043</v>
      </c>
      <c r="V19" s="33">
        <f>'Sch AL-TOU Cust Fcst'!$G18*'Non-Residential TSM UC Adj'!R19</f>
        <v>0</v>
      </c>
      <c r="W19" s="33">
        <f>'Sch AL-TOU Cust Fcst'!$G18*'Non-Residential TSM UC Adj'!S19</f>
        <v>34429.200442364418</v>
      </c>
      <c r="X19" s="33">
        <f>'Sch AL-TOU Cust Fcst'!$G18*'Non-Residential TSM UC Adj'!T19</f>
        <v>10524.711596604035</v>
      </c>
      <c r="Y19" s="41">
        <f>IF(SUM(V19:X19)=0,0,SUM(V19:X19)/'Sch AL-TOU Cust Fcst'!G18)</f>
        <v>4086.7192762698596</v>
      </c>
      <c r="Z19" s="33">
        <f>'Sch AL-TOU Cust Fcst'!$H18*'Non-Residential TSM UC Adj'!R19</f>
        <v>0</v>
      </c>
      <c r="AA19" s="33">
        <f>'Sch AL-TOU Cust Fcst'!$H18*'Non-Residential TSM UC Adj'!W19</f>
        <v>0</v>
      </c>
      <c r="AB19" s="33">
        <f>'Sch AL-TOU Cust Fcst'!$H18*'Non-Residential TSM UC Adj'!X19</f>
        <v>0</v>
      </c>
      <c r="AC19" s="41">
        <f>IF(SUM(Z19:AB19)=0,0,SUM(Z19:AB19)/'Sch AL-TOU Cust Fcst'!H18)</f>
        <v>0</v>
      </c>
      <c r="AD19" s="23">
        <f t="shared" si="3"/>
        <v>359784.18013077049</v>
      </c>
      <c r="AE19" s="23">
        <f t="shared" si="1"/>
        <v>158223.62310285796</v>
      </c>
      <c r="AF19" s="23">
        <f t="shared" si="1"/>
        <v>35328.21083040224</v>
      </c>
      <c r="AG19" s="41">
        <f>IF(SUM(AD19:AF19)=0,0,SUM(AD19:AF19)/'Sch AL-TOU Cust Fcst'!I18)</f>
        <v>13833.400351600769</v>
      </c>
    </row>
    <row r="20" spans="1:33">
      <c r="A20" s="126" t="s">
        <v>108</v>
      </c>
      <c r="B20" s="109">
        <f>'Sch AL-TOU Cust Fcst'!$B19*'Non-Residential TSM UC Adj'!J20</f>
        <v>0</v>
      </c>
      <c r="C20" s="23">
        <f>'Sch AL-TOU Cust Fcst'!$B19*'Non-Residential TSM UC Adj'!K20</f>
        <v>0</v>
      </c>
      <c r="D20" s="23">
        <f>'Sch AL-TOU Cust Fcst'!$B19*'Non-Residential TSM UC Adj'!L20</f>
        <v>0</v>
      </c>
      <c r="E20" s="41">
        <f>IF(SUM(B20:D20)=0,0,SUM(B20:D20)/'Sch AL-TOU Cust Fcst'!B19)</f>
        <v>0</v>
      </c>
      <c r="F20" s="109">
        <f>'Sch AL-TOU Cust Fcst'!$C19*'Non-Residential TSM UC Adj'!J20</f>
        <v>0</v>
      </c>
      <c r="G20" s="23">
        <f>'Sch AL-TOU Cust Fcst'!$C19*'Non-Residential TSM UC Adj'!K20</f>
        <v>0</v>
      </c>
      <c r="H20" s="23">
        <f>'Sch AL-TOU Cust Fcst'!$C19*'Non-Residential TSM UC Adj'!L20</f>
        <v>0</v>
      </c>
      <c r="I20" s="41">
        <f>IF(SUM(F20:H20)=0,0,SUM(F20:H20)/'Sch AL-TOU Cust Fcst'!C19)</f>
        <v>0</v>
      </c>
      <c r="J20" s="109">
        <f>'Sch AL-TOU Cust Fcst'!$D19*'Non-Residential TSM UC Adj'!J20</f>
        <v>0</v>
      </c>
      <c r="K20" s="23">
        <f>'Sch AL-TOU Cust Fcst'!$D19*'Non-Residential TSM UC Adj'!K20</f>
        <v>0</v>
      </c>
      <c r="L20" s="23">
        <f>'Sch AL-TOU Cust Fcst'!$D19*'Non-Residential TSM UC Adj'!L20</f>
        <v>0</v>
      </c>
      <c r="M20" s="41">
        <f>IF(SUM(J20:L20)=0,0,SUM(J20:L20)/'Sch AL-TOU Cust Fcst'!D19)</f>
        <v>0</v>
      </c>
      <c r="N20" s="109">
        <f>'Sch AL-TOU Cust Fcst'!$E19*'Non-Residential TSM UC Adj'!N20</f>
        <v>170021.48743403744</v>
      </c>
      <c r="O20" s="23">
        <f>'Sch AL-TOU Cust Fcst'!$E19*'Non-Residential TSM UC Adj'!O20</f>
        <v>46576.567391093791</v>
      </c>
      <c r="P20" s="23">
        <f>'Sch AL-TOU Cust Fcst'!$E19*'Non-Residential TSM UC Adj'!P20</f>
        <v>10263.516924330292</v>
      </c>
      <c r="Q20" s="41">
        <f>IF(SUM(N20:P20)=0,0,SUM(N20:P20)/'Sch AL-TOU Cust Fcst'!E19)</f>
        <v>18905.130979121794</v>
      </c>
      <c r="R20" s="109">
        <f t="shared" si="2"/>
        <v>170021.48743403744</v>
      </c>
      <c r="S20" s="23">
        <f t="shared" si="0"/>
        <v>46576.567391093791</v>
      </c>
      <c r="T20" s="23">
        <f t="shared" si="0"/>
        <v>10263.516924330292</v>
      </c>
      <c r="U20" s="41">
        <f>IF(SUM(R20:T20)=0,0,SUM(R20:T20)/'Sch AL-TOU Cust Fcst'!F19)</f>
        <v>18905.130979121794</v>
      </c>
      <c r="V20" s="33">
        <f>'Sch AL-TOU Cust Fcst'!$G19*'Non-Residential TSM UC Adj'!R20</f>
        <v>0</v>
      </c>
      <c r="W20" s="33">
        <f>'Sch AL-TOU Cust Fcst'!$G19*'Non-Residential TSM UC Adj'!S20</f>
        <v>3129.9273129422195</v>
      </c>
      <c r="X20" s="33">
        <f>'Sch AL-TOU Cust Fcst'!$G19*'Non-Residential TSM UC Adj'!T20</f>
        <v>956.79196332763956</v>
      </c>
      <c r="Y20" s="41">
        <f>IF(SUM(V20:X20)=0,0,SUM(V20:X20)/'Sch AL-TOU Cust Fcst'!G19)</f>
        <v>4086.7192762698592</v>
      </c>
      <c r="Z20" s="33">
        <f>'Sch AL-TOU Cust Fcst'!$H19*'Non-Residential TSM UC Adj'!R20</f>
        <v>0</v>
      </c>
      <c r="AA20" s="33">
        <f>'Sch AL-TOU Cust Fcst'!$H19*'Non-Residential TSM UC Adj'!W20</f>
        <v>0</v>
      </c>
      <c r="AB20" s="33">
        <f>'Sch AL-TOU Cust Fcst'!$H19*'Non-Residential TSM UC Adj'!X20</f>
        <v>0</v>
      </c>
      <c r="AC20" s="41">
        <f>IF(SUM(Z20:AB20)=0,0,SUM(Z20:AB20)/'Sch AL-TOU Cust Fcst'!H19)</f>
        <v>0</v>
      </c>
      <c r="AD20" s="23">
        <f t="shared" si="3"/>
        <v>170021.48743403744</v>
      </c>
      <c r="AE20" s="23">
        <f t="shared" si="1"/>
        <v>49706.494704036013</v>
      </c>
      <c r="AF20" s="23">
        <f t="shared" si="1"/>
        <v>11220.308887657931</v>
      </c>
      <c r="AG20" s="41">
        <f>IF(SUM(AD20:AF20)=0,0,SUM(AD20:AF20)/'Sch AL-TOU Cust Fcst'!I19)</f>
        <v>17765.253155825492</v>
      </c>
    </row>
    <row r="21" spans="1:33">
      <c r="A21" s="126" t="s">
        <v>109</v>
      </c>
      <c r="B21" s="109">
        <f>'Sch AL-TOU Cust Fcst'!$B20*'Non-Residential TSM UC Adj'!J21</f>
        <v>0</v>
      </c>
      <c r="C21" s="23">
        <f>'Sch AL-TOU Cust Fcst'!$B20*'Non-Residential TSM UC Adj'!K21</f>
        <v>0</v>
      </c>
      <c r="D21" s="23">
        <f>'Sch AL-TOU Cust Fcst'!$B20*'Non-Residential TSM UC Adj'!L21</f>
        <v>0</v>
      </c>
      <c r="E21" s="41">
        <f>IF(SUM(B21:D21)=0,0,SUM(B21:D21)/'Sch AL-TOU Cust Fcst'!B20)</f>
        <v>0</v>
      </c>
      <c r="F21" s="109">
        <f>'Sch AL-TOU Cust Fcst'!$C20*'Non-Residential TSM UC Adj'!J21</f>
        <v>0</v>
      </c>
      <c r="G21" s="23">
        <f>'Sch AL-TOU Cust Fcst'!$C20*'Non-Residential TSM UC Adj'!K21</f>
        <v>0</v>
      </c>
      <c r="H21" s="23">
        <f>'Sch AL-TOU Cust Fcst'!$C20*'Non-Residential TSM UC Adj'!L21</f>
        <v>0</v>
      </c>
      <c r="I21" s="41">
        <f>IF(SUM(F21:H21)=0,0,SUM(F21:H21)/'Sch AL-TOU Cust Fcst'!C20)</f>
        <v>0</v>
      </c>
      <c r="J21" s="109">
        <f>'Sch AL-TOU Cust Fcst'!$D20*'Non-Residential TSM UC Adj'!J21</f>
        <v>33536.438448682122</v>
      </c>
      <c r="K21" s="23">
        <f>'Sch AL-TOU Cust Fcst'!$D20*'Non-Residential TSM UC Adj'!K21</f>
        <v>18997.146030532505</v>
      </c>
      <c r="L21" s="23">
        <f>'Sch AL-TOU Cust Fcst'!$D20*'Non-Residential TSM UC Adj'!L21</f>
        <v>1710.5861540550486</v>
      </c>
      <c r="M21" s="41">
        <f>IF(SUM(J21:L21)=0,0,SUM(J21:L21)/'Sch AL-TOU Cust Fcst'!D20)</f>
        <v>27122.085316634835</v>
      </c>
      <c r="N21" s="109">
        <f>'Sch AL-TOU Cust Fcst'!$E20*'Non-Residential TSM UC Adj'!N21</f>
        <v>70842.286430848922</v>
      </c>
      <c r="O21" s="23">
        <f>'Sch AL-TOU Cust Fcst'!$E20*'Non-Residential TSM UC Adj'!O21</f>
        <v>19406.903079622414</v>
      </c>
      <c r="P21" s="23">
        <f>'Sch AL-TOU Cust Fcst'!$E20*'Non-Residential TSM UC Adj'!P21</f>
        <v>4276.4653851376215</v>
      </c>
      <c r="Q21" s="41">
        <f>IF(SUM(N21:P21)=0,0,SUM(N21:P21)/'Sch AL-TOU Cust Fcst'!E20)</f>
        <v>18905.13097912179</v>
      </c>
      <c r="R21" s="109">
        <f t="shared" si="2"/>
        <v>104378.72487953104</v>
      </c>
      <c r="S21" s="23">
        <f t="shared" si="0"/>
        <v>38404.04911015492</v>
      </c>
      <c r="T21" s="23">
        <f t="shared" si="0"/>
        <v>5987.0515391926701</v>
      </c>
      <c r="U21" s="41">
        <f>IF(SUM(R21:T21)=0,0,SUM(R21:T21)/'Sch AL-TOU Cust Fcst'!F20)</f>
        <v>21252.832218411233</v>
      </c>
      <c r="V21" s="33">
        <f>'Sch AL-TOU Cust Fcst'!$G20*'Non-Residential TSM UC Adj'!R21</f>
        <v>0</v>
      </c>
      <c r="W21" s="33">
        <f>'Sch AL-TOU Cust Fcst'!$G20*'Non-Residential TSM UC Adj'!S21</f>
        <v>0</v>
      </c>
      <c r="X21" s="33">
        <f>'Sch AL-TOU Cust Fcst'!$G20*'Non-Residential TSM UC Adj'!T21</f>
        <v>0</v>
      </c>
      <c r="Y21" s="41">
        <f>IF(SUM(V21:X21)=0,0,SUM(V21:X21)/'Sch AL-TOU Cust Fcst'!G20)</f>
        <v>0</v>
      </c>
      <c r="Z21" s="33">
        <f>'Sch AL-TOU Cust Fcst'!$H20*'Non-Residential TSM UC Adj'!R21</f>
        <v>0</v>
      </c>
      <c r="AA21" s="33">
        <f>'Sch AL-TOU Cust Fcst'!$H20*'Non-Residential TSM UC Adj'!W21</f>
        <v>0</v>
      </c>
      <c r="AB21" s="33">
        <f>'Sch AL-TOU Cust Fcst'!$H20*'Non-Residential TSM UC Adj'!X21</f>
        <v>0</v>
      </c>
      <c r="AC21" s="41">
        <f>IF(SUM(Z21:AB21)=0,0,SUM(Z21:AB21)/'Sch AL-TOU Cust Fcst'!H20)</f>
        <v>0</v>
      </c>
      <c r="AD21" s="23">
        <f t="shared" si="3"/>
        <v>104378.72487953104</v>
      </c>
      <c r="AE21" s="23">
        <f t="shared" si="1"/>
        <v>38404.04911015492</v>
      </c>
      <c r="AF21" s="23">
        <f t="shared" si="1"/>
        <v>5987.0515391926701</v>
      </c>
      <c r="AG21" s="41">
        <f>IF(SUM(AD21:AF21)=0,0,SUM(AD21:AF21)/'Sch AL-TOU Cust Fcst'!I20)</f>
        <v>21252.832218411233</v>
      </c>
    </row>
    <row r="22" spans="1:33">
      <c r="A22" s="124" t="s">
        <v>14</v>
      </c>
      <c r="B22" s="109">
        <f>'Sch AL-TOU Cust Fcst'!$B21*'Non-Residential TSM UC Adj'!J22</f>
        <v>0</v>
      </c>
      <c r="C22" s="23">
        <f>'Sch AL-TOU Cust Fcst'!$B21*'Non-Residential TSM UC Adj'!K22</f>
        <v>0</v>
      </c>
      <c r="D22" s="23">
        <f>'Sch AL-TOU Cust Fcst'!$B21*'Non-Residential TSM UC Adj'!L22</f>
        <v>0</v>
      </c>
      <c r="E22" s="41">
        <f>IF(SUM(B22:D22)=0,0,SUM(B22:D22)/'Sch AL-TOU Cust Fcst'!B21)</f>
        <v>0</v>
      </c>
      <c r="F22" s="109">
        <f>'Sch AL-TOU Cust Fcst'!$C21*'Non-Residential TSM UC Adj'!J22</f>
        <v>0</v>
      </c>
      <c r="G22" s="23">
        <f>'Sch AL-TOU Cust Fcst'!$C21*'Non-Residential TSM UC Adj'!K22</f>
        <v>0</v>
      </c>
      <c r="H22" s="23">
        <f>'Sch AL-TOU Cust Fcst'!$C21*'Non-Residential TSM UC Adj'!L22</f>
        <v>0</v>
      </c>
      <c r="I22" s="41">
        <f>IF(SUM(F22:H22)=0,0,SUM(F22:H22)/'Sch AL-TOU Cust Fcst'!C21)</f>
        <v>0</v>
      </c>
      <c r="J22" s="109">
        <f>'Sch AL-TOU Cust Fcst'!$D21*'Non-Residential TSM UC Adj'!J22</f>
        <v>0</v>
      </c>
      <c r="K22" s="23">
        <f>'Sch AL-TOU Cust Fcst'!$D21*'Non-Residential TSM UC Adj'!K22</f>
        <v>0</v>
      </c>
      <c r="L22" s="23">
        <f>'Sch AL-TOU Cust Fcst'!$D21*'Non-Residential TSM UC Adj'!L22</f>
        <v>0</v>
      </c>
      <c r="M22" s="41">
        <f>IF(SUM(J22:L22)=0,0,SUM(J22:L22)/'Sch AL-TOU Cust Fcst'!D21)</f>
        <v>0</v>
      </c>
      <c r="N22" s="109">
        <f>'Sch AL-TOU Cust Fcst'!$E21*'Non-Residential TSM UC Adj'!N22</f>
        <v>283369.14572339569</v>
      </c>
      <c r="O22" s="23">
        <f>'Sch AL-TOU Cust Fcst'!$E21*'Non-Residential TSM UC Adj'!O22</f>
        <v>63323.820101775018</v>
      </c>
      <c r="P22" s="23">
        <f>'Sch AL-TOU Cust Fcst'!$E21*'Non-Residential TSM UC Adj'!P22</f>
        <v>8552.930770275243</v>
      </c>
      <c r="Q22" s="41">
        <f>IF(SUM(N22:P22)=0,0,SUM(N22:P22)/'Sch AL-TOU Cust Fcst'!E21)</f>
        <v>35524.589659544596</v>
      </c>
      <c r="R22" s="109">
        <f t="shared" si="2"/>
        <v>283369.14572339569</v>
      </c>
      <c r="S22" s="23">
        <f t="shared" si="0"/>
        <v>63323.820101775018</v>
      </c>
      <c r="T22" s="23">
        <f t="shared" si="0"/>
        <v>8552.930770275243</v>
      </c>
      <c r="U22" s="41">
        <f>IF(SUM(R22:T22)=0,0,SUM(R22:T22)/'Sch AL-TOU Cust Fcst'!F21)</f>
        <v>35524.589659544596</v>
      </c>
      <c r="V22" s="33">
        <f>'Sch AL-TOU Cust Fcst'!$G21*'Non-Residential TSM UC Adj'!R22</f>
        <v>0</v>
      </c>
      <c r="W22" s="33">
        <f>'Sch AL-TOU Cust Fcst'!$G21*'Non-Residential TSM UC Adj'!S22</f>
        <v>9389.781938826658</v>
      </c>
      <c r="X22" s="33">
        <f>'Sch AL-TOU Cust Fcst'!$G21*'Non-Residential TSM UC Adj'!T22</f>
        <v>2870.3758899829186</v>
      </c>
      <c r="Y22" s="41">
        <f>IF(SUM(V22:X22)=0,0,SUM(V22:X22)/'Sch AL-TOU Cust Fcst'!G21)</f>
        <v>4086.7192762698592</v>
      </c>
      <c r="Z22" s="33">
        <f>'Sch AL-TOU Cust Fcst'!$H21*'Non-Residential TSM UC Adj'!R22</f>
        <v>0</v>
      </c>
      <c r="AA22" s="33">
        <f>'Sch AL-TOU Cust Fcst'!$H21*'Non-Residential TSM UC Adj'!W22</f>
        <v>0</v>
      </c>
      <c r="AB22" s="33">
        <f>'Sch AL-TOU Cust Fcst'!$H21*'Non-Residential TSM UC Adj'!X22</f>
        <v>0</v>
      </c>
      <c r="AC22" s="41">
        <f>IF(SUM(Z22:AB22)=0,0,SUM(Z22:AB22)/'Sch AL-TOU Cust Fcst'!H21)</f>
        <v>0</v>
      </c>
      <c r="AD22" s="23">
        <f t="shared" si="3"/>
        <v>283369.14572339569</v>
      </c>
      <c r="AE22" s="23">
        <f t="shared" si="1"/>
        <v>72713.602040601676</v>
      </c>
      <c r="AF22" s="23">
        <f t="shared" si="1"/>
        <v>11423.306660258162</v>
      </c>
      <c r="AG22" s="41">
        <f>IF(SUM(AD22:AF22)=0,0,SUM(AD22:AF22)/'Sch AL-TOU Cust Fcst'!I21)</f>
        <v>28269.696494173499</v>
      </c>
    </row>
    <row r="23" spans="1:33">
      <c r="A23" s="126" t="s">
        <v>15</v>
      </c>
      <c r="B23" s="109">
        <f>'Sch AL-TOU Cust Fcst'!$B22*'Non-Residential TSM UC Adj'!J23</f>
        <v>0</v>
      </c>
      <c r="C23" s="23">
        <f>'Sch AL-TOU Cust Fcst'!$B22*'Non-Residential TSM UC Adj'!K23</f>
        <v>0</v>
      </c>
      <c r="D23" s="23">
        <f>'Sch AL-TOU Cust Fcst'!$B22*'Non-Residential TSM UC Adj'!L23</f>
        <v>0</v>
      </c>
      <c r="E23" s="41">
        <f>IF(SUM(B23:D23)=0,0,SUM(B23:D23)/'Sch AL-TOU Cust Fcst'!B22)</f>
        <v>0</v>
      </c>
      <c r="F23" s="109">
        <f>'Sch AL-TOU Cust Fcst'!$C22*'Non-Residential TSM UC Adj'!J23</f>
        <v>0</v>
      </c>
      <c r="G23" s="23">
        <f>'Sch AL-TOU Cust Fcst'!$C22*'Non-Residential TSM UC Adj'!K23</f>
        <v>0</v>
      </c>
      <c r="H23" s="23">
        <f>'Sch AL-TOU Cust Fcst'!$C22*'Non-Residential TSM UC Adj'!L23</f>
        <v>0</v>
      </c>
      <c r="I23" s="41">
        <f>IF(SUM(F23:H23)=0,0,SUM(F23:H23)/'Sch AL-TOU Cust Fcst'!C22)</f>
        <v>0</v>
      </c>
      <c r="J23" s="109">
        <f>'Sch AL-TOU Cust Fcst'!$D22*'Non-Residential TSM UC Adj'!J23</f>
        <v>0</v>
      </c>
      <c r="K23" s="23">
        <f>'Sch AL-TOU Cust Fcst'!$D22*'Non-Residential TSM UC Adj'!K23</f>
        <v>0</v>
      </c>
      <c r="L23" s="23">
        <f>'Sch AL-TOU Cust Fcst'!$D22*'Non-Residential TSM UC Adj'!L23</f>
        <v>0</v>
      </c>
      <c r="M23" s="41">
        <f>IF(SUM(J23:L23)=0,0,SUM(J23:L23)/'Sch AL-TOU Cust Fcst'!D22)</f>
        <v>0</v>
      </c>
      <c r="N23" s="109">
        <f>'Sch AL-TOU Cust Fcst'!$E22*'Non-Residential TSM UC Adj'!N23</f>
        <v>68706.031701997461</v>
      </c>
      <c r="O23" s="23">
        <f>'Sch AL-TOU Cust Fcst'!$E22*'Non-Residential TSM UC Adj'!O23</f>
        <v>12664.764020355004</v>
      </c>
      <c r="P23" s="23">
        <f>'Sch AL-TOU Cust Fcst'!$E22*'Non-Residential TSM UC Adj'!P23</f>
        <v>1710.5861540550486</v>
      </c>
      <c r="Q23" s="41">
        <f>IF(SUM(N23:P23)=0,0,SUM(N23:P23)/'Sch AL-TOU Cust Fcst'!E22)</f>
        <v>41540.690938203756</v>
      </c>
      <c r="R23" s="109">
        <f t="shared" si="2"/>
        <v>68706.031701997461</v>
      </c>
      <c r="S23" s="23">
        <f t="shared" si="2"/>
        <v>12664.764020355004</v>
      </c>
      <c r="T23" s="23">
        <f t="shared" si="2"/>
        <v>1710.5861540550486</v>
      </c>
      <c r="U23" s="41">
        <f>IF(SUM(R23:T23)=0,0,SUM(R23:T23)/'Sch AL-TOU Cust Fcst'!F22)</f>
        <v>41540.690938203756</v>
      </c>
      <c r="V23" s="33">
        <f>'Sch AL-TOU Cust Fcst'!$G22*'Non-Residential TSM UC Adj'!R23</f>
        <v>0</v>
      </c>
      <c r="W23" s="33">
        <f>'Sch AL-TOU Cust Fcst'!$G22*'Non-Residential TSM UC Adj'!S23</f>
        <v>0</v>
      </c>
      <c r="X23" s="33">
        <f>'Sch AL-TOU Cust Fcst'!$G22*'Non-Residential TSM UC Adj'!T23</f>
        <v>0</v>
      </c>
      <c r="Y23" s="41">
        <f>IF(SUM(V23:X23)=0,0,SUM(V23:X23)/'Sch AL-TOU Cust Fcst'!G22)</f>
        <v>0</v>
      </c>
      <c r="Z23" s="33">
        <f>'Sch AL-TOU Cust Fcst'!$H22*'Non-Residential TSM UC Adj'!R23</f>
        <v>0</v>
      </c>
      <c r="AA23" s="33">
        <f>'Sch AL-TOU Cust Fcst'!$H22*'Non-Residential TSM UC Adj'!W23</f>
        <v>0</v>
      </c>
      <c r="AB23" s="33">
        <f>'Sch AL-TOU Cust Fcst'!$H22*'Non-Residential TSM UC Adj'!X23</f>
        <v>0</v>
      </c>
      <c r="AC23" s="41">
        <f>IF(SUM(Z23:AB23)=0,0,SUM(Z23:AB23)/'Sch AL-TOU Cust Fcst'!H22)</f>
        <v>0</v>
      </c>
      <c r="AD23" s="23">
        <f t="shared" si="3"/>
        <v>68706.031701997461</v>
      </c>
      <c r="AE23" s="23">
        <f t="shared" ref="AE23:AE37" si="4">S23+W23+AA23</f>
        <v>12664.764020355004</v>
      </c>
      <c r="AF23" s="23">
        <f t="shared" ref="AF23:AF37" si="5">T23+X23+AB23</f>
        <v>1710.5861540550486</v>
      </c>
      <c r="AG23" s="41">
        <f>IF(SUM(AD23:AF23)=0,0,SUM(AD23:AF23)/'Sch AL-TOU Cust Fcst'!I22)</f>
        <v>41540.690938203756</v>
      </c>
    </row>
    <row r="24" spans="1:33">
      <c r="A24" s="126" t="s">
        <v>16</v>
      </c>
      <c r="B24" s="109">
        <f>'Sch AL-TOU Cust Fcst'!$B23*'Non-Residential TSM UC Adj'!J24</f>
        <v>0</v>
      </c>
      <c r="C24" s="23">
        <f>'Sch AL-TOU Cust Fcst'!$B23*'Non-Residential TSM UC Adj'!K24</f>
        <v>0</v>
      </c>
      <c r="D24" s="23">
        <f>'Sch AL-TOU Cust Fcst'!$B23*'Non-Residential TSM UC Adj'!L24</f>
        <v>0</v>
      </c>
      <c r="E24" s="41">
        <f>IF(SUM(B24:D24)=0,0,SUM(B24:D24)/'Sch AL-TOU Cust Fcst'!B23)</f>
        <v>0</v>
      </c>
      <c r="F24" s="109">
        <f>'Sch AL-TOU Cust Fcst'!$C23*'Non-Residential TSM UC Adj'!J24</f>
        <v>0</v>
      </c>
      <c r="G24" s="23">
        <f>'Sch AL-TOU Cust Fcst'!$C23*'Non-Residential TSM UC Adj'!K24</f>
        <v>0</v>
      </c>
      <c r="H24" s="23">
        <f>'Sch AL-TOU Cust Fcst'!$C23*'Non-Residential TSM UC Adj'!L24</f>
        <v>0</v>
      </c>
      <c r="I24" s="41">
        <f>IF(SUM(F24:H24)=0,0,SUM(F24:H24)/'Sch AL-TOU Cust Fcst'!C23)</f>
        <v>0</v>
      </c>
      <c r="J24" s="109">
        <f>'Sch AL-TOU Cust Fcst'!$D23*'Non-Residential TSM UC Adj'!J24</f>
        <v>0</v>
      </c>
      <c r="K24" s="23">
        <f>'Sch AL-TOU Cust Fcst'!$D23*'Non-Residential TSM UC Adj'!K24</f>
        <v>0</v>
      </c>
      <c r="L24" s="23">
        <f>'Sch AL-TOU Cust Fcst'!$D23*'Non-Residential TSM UC Adj'!L24</f>
        <v>0</v>
      </c>
      <c r="M24" s="41">
        <f>IF(SUM(J24:L24)=0,0,SUM(J24:L24)/'Sch AL-TOU Cust Fcst'!D23)</f>
        <v>0</v>
      </c>
      <c r="N24" s="109">
        <f>'Sch AL-TOU Cust Fcst'!$E23*'Non-Residential TSM UC Adj'!N24</f>
        <v>0</v>
      </c>
      <c r="O24" s="23">
        <f>'Sch AL-TOU Cust Fcst'!$E23*'Non-Residential TSM UC Adj'!O24</f>
        <v>0</v>
      </c>
      <c r="P24" s="23">
        <f>'Sch AL-TOU Cust Fcst'!$E23*'Non-Residential TSM UC Adj'!P24</f>
        <v>0</v>
      </c>
      <c r="Q24" s="41">
        <f>IF(SUM(N24:P24)=0,0,SUM(N24:P24)/'Sch AL-TOU Cust Fcst'!E23)</f>
        <v>0</v>
      </c>
      <c r="R24" s="109">
        <f t="shared" si="2"/>
        <v>0</v>
      </c>
      <c r="S24" s="23">
        <f t="shared" si="2"/>
        <v>0</v>
      </c>
      <c r="T24" s="23">
        <f t="shared" si="2"/>
        <v>0</v>
      </c>
      <c r="U24" s="41">
        <f>IF(SUM(R24:T24)=0,0,SUM(R24:T24)/'Sch AL-TOU Cust Fcst'!F23)</f>
        <v>0</v>
      </c>
      <c r="V24" s="33">
        <f>'Sch AL-TOU Cust Fcst'!$G23*'Non-Residential TSM UC Adj'!R24</f>
        <v>0</v>
      </c>
      <c r="W24" s="33">
        <f>'Sch AL-TOU Cust Fcst'!$G23*'Non-Residential TSM UC Adj'!S24</f>
        <v>3129.9273129422195</v>
      </c>
      <c r="X24" s="33">
        <f>'Sch AL-TOU Cust Fcst'!$G23*'Non-Residential TSM UC Adj'!T24</f>
        <v>956.79196332763956</v>
      </c>
      <c r="Y24" s="41">
        <f>IF(SUM(V24:X24)=0,0,SUM(V24:X24)/'Sch AL-TOU Cust Fcst'!G23)</f>
        <v>4086.7192762698592</v>
      </c>
      <c r="Z24" s="33">
        <f>'Sch AL-TOU Cust Fcst'!$H23*'Non-Residential TSM UC Adj'!R24</f>
        <v>0</v>
      </c>
      <c r="AA24" s="33">
        <f>'Sch AL-TOU Cust Fcst'!$H23*'Non-Residential TSM UC Adj'!W24</f>
        <v>0</v>
      </c>
      <c r="AB24" s="33">
        <f>'Sch AL-TOU Cust Fcst'!$H23*'Non-Residential TSM UC Adj'!X24</f>
        <v>0</v>
      </c>
      <c r="AC24" s="41">
        <f>IF(SUM(Z24:AB24)=0,0,SUM(Z24:AB24)/'Sch AL-TOU Cust Fcst'!H23)</f>
        <v>0</v>
      </c>
      <c r="AD24" s="23">
        <f t="shared" si="3"/>
        <v>0</v>
      </c>
      <c r="AE24" s="23">
        <f t="shared" si="4"/>
        <v>3129.9273129422195</v>
      </c>
      <c r="AF24" s="23">
        <f t="shared" si="5"/>
        <v>956.79196332763956</v>
      </c>
      <c r="AG24" s="41">
        <f>IF(SUM(AD24:AF24)=0,0,SUM(AD24:AF24)/'Sch AL-TOU Cust Fcst'!I23)</f>
        <v>4086.7192762698592</v>
      </c>
    </row>
    <row r="25" spans="1:33">
      <c r="A25" s="126" t="s">
        <v>17</v>
      </c>
      <c r="B25" s="109">
        <f>'Sch AL-TOU Cust Fcst'!$B24*'Non-Residential TSM UC Adj'!J25</f>
        <v>0</v>
      </c>
      <c r="C25" s="23">
        <f>'Sch AL-TOU Cust Fcst'!$B24*'Non-Residential TSM UC Adj'!K25</f>
        <v>0</v>
      </c>
      <c r="D25" s="23">
        <f>'Sch AL-TOU Cust Fcst'!$B24*'Non-Residential TSM UC Adj'!L25</f>
        <v>0</v>
      </c>
      <c r="E25" s="41">
        <f>IF(SUM(B25:D25)=0,0,SUM(B25:D25)/'Sch AL-TOU Cust Fcst'!B24)</f>
        <v>0</v>
      </c>
      <c r="F25" s="109">
        <f>'Sch AL-TOU Cust Fcst'!$C24*'Non-Residential TSM UC Adj'!J25</f>
        <v>0</v>
      </c>
      <c r="G25" s="23">
        <f>'Sch AL-TOU Cust Fcst'!$C24*'Non-Residential TSM UC Adj'!K25</f>
        <v>0</v>
      </c>
      <c r="H25" s="23">
        <f>'Sch AL-TOU Cust Fcst'!$C24*'Non-Residential TSM UC Adj'!L25</f>
        <v>0</v>
      </c>
      <c r="I25" s="41">
        <f>IF(SUM(F25:H25)=0,0,SUM(F25:H25)/'Sch AL-TOU Cust Fcst'!C24)</f>
        <v>0</v>
      </c>
      <c r="J25" s="109">
        <f>'Sch AL-TOU Cust Fcst'!$D24*'Non-Residential TSM UC Adj'!J25</f>
        <v>0</v>
      </c>
      <c r="K25" s="23">
        <f>'Sch AL-TOU Cust Fcst'!$D24*'Non-Residential TSM UC Adj'!K25</f>
        <v>0</v>
      </c>
      <c r="L25" s="23">
        <f>'Sch AL-TOU Cust Fcst'!$D24*'Non-Residential TSM UC Adj'!L25</f>
        <v>0</v>
      </c>
      <c r="M25" s="41">
        <f>IF(SUM(J25:L25)=0,0,SUM(J25:L25)/'Sch AL-TOU Cust Fcst'!D24)</f>
        <v>0</v>
      </c>
      <c r="N25" s="109">
        <f>'Sch AL-TOU Cust Fcst'!$E24*'Non-Residential TSM UC Adj'!N25</f>
        <v>119068.81456454728</v>
      </c>
      <c r="O25" s="23">
        <f>'Sch AL-TOU Cust Fcst'!$E24*'Non-Residential TSM UC Adj'!O25</f>
        <v>28495.71904579876</v>
      </c>
      <c r="P25" s="23">
        <f>'Sch AL-TOU Cust Fcst'!$E24*'Non-Residential TSM UC Adj'!P25</f>
        <v>2565.8792310825729</v>
      </c>
      <c r="Q25" s="41">
        <f>IF(SUM(N25:P25)=0,0,SUM(N25:P25)/'Sch AL-TOU Cust Fcst'!E24)</f>
        <v>50043.470947142865</v>
      </c>
      <c r="R25" s="109">
        <f t="shared" si="2"/>
        <v>119068.81456454728</v>
      </c>
      <c r="S25" s="23">
        <f t="shared" si="2"/>
        <v>28495.71904579876</v>
      </c>
      <c r="T25" s="23">
        <f t="shared" si="2"/>
        <v>2565.8792310825729</v>
      </c>
      <c r="U25" s="41">
        <f>IF(SUM(R25:T25)=0,0,SUM(R25:T25)/'Sch AL-TOU Cust Fcst'!F24)</f>
        <v>50043.470947142865</v>
      </c>
      <c r="V25" s="33">
        <f>'Sch AL-TOU Cust Fcst'!$G24*'Non-Residential TSM UC Adj'!R25</f>
        <v>0</v>
      </c>
      <c r="W25" s="33">
        <f>'Sch AL-TOU Cust Fcst'!$G24*'Non-Residential TSM UC Adj'!S25</f>
        <v>12519.709251768878</v>
      </c>
      <c r="X25" s="33">
        <f>'Sch AL-TOU Cust Fcst'!$G24*'Non-Residential TSM UC Adj'!T25</f>
        <v>3827.1678533105583</v>
      </c>
      <c r="Y25" s="41">
        <f>IF(SUM(V25:X25)=0,0,SUM(V25:X25)/'Sch AL-TOU Cust Fcst'!G24)</f>
        <v>4086.7192762698592</v>
      </c>
      <c r="Z25" s="33">
        <f>'Sch AL-TOU Cust Fcst'!$H24*'Non-Residential TSM UC Adj'!R25</f>
        <v>0</v>
      </c>
      <c r="AA25" s="33">
        <f>'Sch AL-TOU Cust Fcst'!$H24*'Non-Residential TSM UC Adj'!W25</f>
        <v>0</v>
      </c>
      <c r="AB25" s="33">
        <f>'Sch AL-TOU Cust Fcst'!$H24*'Non-Residential TSM UC Adj'!X25</f>
        <v>0</v>
      </c>
      <c r="AC25" s="41">
        <f>IF(SUM(Z25:AB25)=0,0,SUM(Z25:AB25)/'Sch AL-TOU Cust Fcst'!H24)</f>
        <v>0</v>
      </c>
      <c r="AD25" s="23">
        <f t="shared" si="3"/>
        <v>119068.81456454728</v>
      </c>
      <c r="AE25" s="23">
        <f t="shared" si="4"/>
        <v>41015.42829756764</v>
      </c>
      <c r="AF25" s="23">
        <f t="shared" si="5"/>
        <v>6393.0470843931307</v>
      </c>
      <c r="AG25" s="41">
        <f>IF(SUM(AD25:AF25)=0,0,SUM(AD25:AF25)/'Sch AL-TOU Cust Fcst'!I24)</f>
        <v>23782.469992358292</v>
      </c>
    </row>
    <row r="26" spans="1:33">
      <c r="A26" s="126" t="s">
        <v>18</v>
      </c>
      <c r="B26" s="109">
        <f>'Sch AL-TOU Cust Fcst'!$B25*'Non-Residential TSM UC Adj'!J26</f>
        <v>0</v>
      </c>
      <c r="C26" s="23">
        <f>'Sch AL-TOU Cust Fcst'!$B25*'Non-Residential TSM UC Adj'!K26</f>
        <v>0</v>
      </c>
      <c r="D26" s="23">
        <f>'Sch AL-TOU Cust Fcst'!$B25*'Non-Residential TSM UC Adj'!L26</f>
        <v>0</v>
      </c>
      <c r="E26" s="41">
        <f>IF(SUM(B26:D26)=0,0,SUM(B26:D26)/'Sch AL-TOU Cust Fcst'!B25)</f>
        <v>0</v>
      </c>
      <c r="F26" s="109">
        <f>'Sch AL-TOU Cust Fcst'!$C25*'Non-Residential TSM UC Adj'!J26</f>
        <v>0</v>
      </c>
      <c r="G26" s="23">
        <f>'Sch AL-TOU Cust Fcst'!$C25*'Non-Residential TSM UC Adj'!K26</f>
        <v>0</v>
      </c>
      <c r="H26" s="23">
        <f>'Sch AL-TOU Cust Fcst'!$C25*'Non-Residential TSM UC Adj'!L26</f>
        <v>0</v>
      </c>
      <c r="I26" s="41">
        <f>IF(SUM(F26:H26)=0,0,SUM(F26:H26)/'Sch AL-TOU Cust Fcst'!C25)</f>
        <v>0</v>
      </c>
      <c r="J26" s="109">
        <f>'Sch AL-TOU Cust Fcst'!$D25*'Non-Residential TSM UC Adj'!J26</f>
        <v>0</v>
      </c>
      <c r="K26" s="23">
        <f>'Sch AL-TOU Cust Fcst'!$D25*'Non-Residential TSM UC Adj'!K26</f>
        <v>0</v>
      </c>
      <c r="L26" s="23">
        <f>'Sch AL-TOU Cust Fcst'!$D25*'Non-Residential TSM UC Adj'!L26</f>
        <v>0</v>
      </c>
      <c r="M26" s="41">
        <f>IF(SUM(J26:L26)=0,0,SUM(J26:L26)/'Sch AL-TOU Cust Fcst'!D25)</f>
        <v>0</v>
      </c>
      <c r="N26" s="109">
        <f>'Sch AL-TOU Cust Fcst'!$E25*'Non-Residential TSM UC Adj'!N26</f>
        <v>39689.604854849094</v>
      </c>
      <c r="O26" s="23">
        <f>'Sch AL-TOU Cust Fcst'!$E25*'Non-Residential TSM UC Adj'!O26</f>
        <v>12664.764020355004</v>
      </c>
      <c r="P26" s="23">
        <f>'Sch AL-TOU Cust Fcst'!$E25*'Non-Residential TSM UC Adj'!P26</f>
        <v>855.2930770275243</v>
      </c>
      <c r="Q26" s="41">
        <f>IF(SUM(N26:P26)=0,0,SUM(N26:P26)/'Sch AL-TOU Cust Fcst'!E25)</f>
        <v>53209.661952231625</v>
      </c>
      <c r="R26" s="109">
        <f t="shared" si="2"/>
        <v>39689.604854849094</v>
      </c>
      <c r="S26" s="23">
        <f t="shared" si="2"/>
        <v>12664.764020355004</v>
      </c>
      <c r="T26" s="23">
        <f t="shared" si="2"/>
        <v>855.2930770275243</v>
      </c>
      <c r="U26" s="41">
        <f>IF(SUM(R26:T26)=0,0,SUM(R26:T26)/'Sch AL-TOU Cust Fcst'!F25)</f>
        <v>53209.661952231625</v>
      </c>
      <c r="V26" s="33">
        <f>'Sch AL-TOU Cust Fcst'!$G25*'Non-Residential TSM UC Adj'!R26</f>
        <v>0</v>
      </c>
      <c r="W26" s="33">
        <f>'Sch AL-TOU Cust Fcst'!$G25*'Non-Residential TSM UC Adj'!S26</f>
        <v>3129.9273129422195</v>
      </c>
      <c r="X26" s="33">
        <f>'Sch AL-TOU Cust Fcst'!$G25*'Non-Residential TSM UC Adj'!T26</f>
        <v>956.79196332763956</v>
      </c>
      <c r="Y26" s="41">
        <f>IF(SUM(V26:X26)=0,0,SUM(V26:X26)/'Sch AL-TOU Cust Fcst'!G25)</f>
        <v>4086.7192762698592</v>
      </c>
      <c r="Z26" s="33">
        <f>'Sch AL-TOU Cust Fcst'!$H25*'Non-Residential TSM UC Adj'!R26</f>
        <v>0</v>
      </c>
      <c r="AA26" s="33">
        <f>'Sch AL-TOU Cust Fcst'!$H25*'Non-Residential TSM UC Adj'!W26</f>
        <v>0</v>
      </c>
      <c r="AB26" s="33">
        <f>'Sch AL-TOU Cust Fcst'!$H25*'Non-Residential TSM UC Adj'!X26</f>
        <v>0</v>
      </c>
      <c r="AC26" s="41">
        <f>IF(SUM(Z26:AB26)=0,0,SUM(Z26:AB26)/'Sch AL-TOU Cust Fcst'!H25)</f>
        <v>0</v>
      </c>
      <c r="AD26" s="23">
        <f t="shared" si="3"/>
        <v>39689.604854849094</v>
      </c>
      <c r="AE26" s="23">
        <f t="shared" si="4"/>
        <v>15794.691333297224</v>
      </c>
      <c r="AF26" s="23">
        <f t="shared" si="5"/>
        <v>1812.085040355164</v>
      </c>
      <c r="AG26" s="41">
        <f>IF(SUM(AD26:AF26)=0,0,SUM(AD26:AF26)/'Sch AL-TOU Cust Fcst'!I25)</f>
        <v>28648.190614250743</v>
      </c>
    </row>
    <row r="27" spans="1:33">
      <c r="A27" s="126" t="s">
        <v>19</v>
      </c>
      <c r="B27" s="109">
        <f>'Sch AL-TOU Cust Fcst'!$B26*'Non-Residential TSM UC Adj'!J27</f>
        <v>0</v>
      </c>
      <c r="C27" s="23">
        <f>'Sch AL-TOU Cust Fcst'!$B26*'Non-Residential TSM UC Adj'!K27</f>
        <v>0</v>
      </c>
      <c r="D27" s="23">
        <f>'Sch AL-TOU Cust Fcst'!$B26*'Non-Residential TSM UC Adj'!L27</f>
        <v>0</v>
      </c>
      <c r="E27" s="41">
        <f>IF(SUM(B27:D27)=0,0,SUM(B27:D27)/'Sch AL-TOU Cust Fcst'!B26)</f>
        <v>0</v>
      </c>
      <c r="F27" s="109">
        <f>'Sch AL-TOU Cust Fcst'!$C26*'Non-Residential TSM UC Adj'!J27</f>
        <v>0</v>
      </c>
      <c r="G27" s="23">
        <f>'Sch AL-TOU Cust Fcst'!$C26*'Non-Residential TSM UC Adj'!K27</f>
        <v>0</v>
      </c>
      <c r="H27" s="23">
        <f>'Sch AL-TOU Cust Fcst'!$C26*'Non-Residential TSM UC Adj'!L27</f>
        <v>0</v>
      </c>
      <c r="I27" s="41">
        <f>IF(SUM(F27:H27)=0,0,SUM(F27:H27)/'Sch AL-TOU Cust Fcst'!C26)</f>
        <v>0</v>
      </c>
      <c r="J27" s="109">
        <f>'Sch AL-TOU Cust Fcst'!$D26*'Non-Residential TSM UC Adj'!J27</f>
        <v>0</v>
      </c>
      <c r="K27" s="23">
        <f>'Sch AL-TOU Cust Fcst'!$D26*'Non-Residential TSM UC Adj'!K27</f>
        <v>0</v>
      </c>
      <c r="L27" s="23">
        <f>'Sch AL-TOU Cust Fcst'!$D26*'Non-Residential TSM UC Adj'!L27</f>
        <v>0</v>
      </c>
      <c r="M27" s="41">
        <f>IF(SUM(J27:L27)=0,0,SUM(J27:L27)/'Sch AL-TOU Cust Fcst'!D26)</f>
        <v>0</v>
      </c>
      <c r="N27" s="109">
        <f>'Sch AL-TOU Cust Fcst'!$E26*'Non-Residential TSM UC Adj'!N27</f>
        <v>0</v>
      </c>
      <c r="O27" s="23">
        <f>'Sch AL-TOU Cust Fcst'!$E26*'Non-Residential TSM UC Adj'!O27</f>
        <v>0</v>
      </c>
      <c r="P27" s="23">
        <f>'Sch AL-TOU Cust Fcst'!$E26*'Non-Residential TSM UC Adj'!P27</f>
        <v>0</v>
      </c>
      <c r="Q27" s="41">
        <f>IF(SUM(N27:P27)=0,0,SUM(N27:P27)/'Sch AL-TOU Cust Fcst'!E26)</f>
        <v>0</v>
      </c>
      <c r="R27" s="109">
        <f t="shared" si="2"/>
        <v>0</v>
      </c>
      <c r="S27" s="23">
        <f t="shared" si="2"/>
        <v>0</v>
      </c>
      <c r="T27" s="23">
        <f t="shared" si="2"/>
        <v>0</v>
      </c>
      <c r="U27" s="41">
        <f>IF(SUM(R27:T27)=0,0,SUM(R27:T27)/'Sch AL-TOU Cust Fcst'!F26)</f>
        <v>0</v>
      </c>
      <c r="V27" s="33">
        <f>'Sch AL-TOU Cust Fcst'!$G26*'Non-Residential TSM UC Adj'!R27</f>
        <v>0</v>
      </c>
      <c r="W27" s="33">
        <f>'Sch AL-TOU Cust Fcst'!$G26*'Non-Residential TSM UC Adj'!S27</f>
        <v>3129.9273129422195</v>
      </c>
      <c r="X27" s="33">
        <f>'Sch AL-TOU Cust Fcst'!$G26*'Non-Residential TSM UC Adj'!T27</f>
        <v>956.79196332763956</v>
      </c>
      <c r="Y27" s="41">
        <f>IF(SUM(V27:X27)=0,0,SUM(V27:X27)/'Sch AL-TOU Cust Fcst'!G26)</f>
        <v>4086.7192762698592</v>
      </c>
      <c r="Z27" s="33">
        <f>'Sch AL-TOU Cust Fcst'!$H26*'Non-Residential TSM UC Adj'!R27</f>
        <v>0</v>
      </c>
      <c r="AA27" s="33">
        <f>'Sch AL-TOU Cust Fcst'!$H26*'Non-Residential TSM UC Adj'!W27</f>
        <v>0</v>
      </c>
      <c r="AB27" s="33">
        <f>'Sch AL-TOU Cust Fcst'!$H26*'Non-Residential TSM UC Adj'!X27</f>
        <v>0</v>
      </c>
      <c r="AC27" s="41">
        <f>IF(SUM(Z27:AB27)=0,0,SUM(Z27:AB27)/'Sch AL-TOU Cust Fcst'!H26)</f>
        <v>0</v>
      </c>
      <c r="AD27" s="23">
        <f t="shared" si="3"/>
        <v>0</v>
      </c>
      <c r="AE27" s="23">
        <f t="shared" si="4"/>
        <v>3129.9273129422195</v>
      </c>
      <c r="AF27" s="23">
        <f t="shared" si="5"/>
        <v>956.79196332763956</v>
      </c>
      <c r="AG27" s="41">
        <f>IF(SUM(AD27:AF27)=0,0,SUM(AD27:AF27)/'Sch AL-TOU Cust Fcst'!I26)</f>
        <v>4086.7192762698592</v>
      </c>
    </row>
    <row r="28" spans="1:33">
      <c r="A28" s="126" t="s">
        <v>20</v>
      </c>
      <c r="B28" s="109">
        <f>'Sch AL-TOU Cust Fcst'!$B27*'Non-Residential TSM UC Adj'!J28</f>
        <v>0</v>
      </c>
      <c r="C28" s="23">
        <f>'Sch AL-TOU Cust Fcst'!$B27*'Non-Residential TSM UC Adj'!K28</f>
        <v>0</v>
      </c>
      <c r="D28" s="23">
        <f>'Sch AL-TOU Cust Fcst'!$B27*'Non-Residential TSM UC Adj'!L28</f>
        <v>0</v>
      </c>
      <c r="E28" s="41">
        <f>IF(SUM(B28:D28)=0,0,SUM(B28:D28)/'Sch AL-TOU Cust Fcst'!B27)</f>
        <v>0</v>
      </c>
      <c r="F28" s="109">
        <f>'Sch AL-TOU Cust Fcst'!$C27*'Non-Residential TSM UC Adj'!J28</f>
        <v>0</v>
      </c>
      <c r="G28" s="23">
        <f>'Sch AL-TOU Cust Fcst'!$C27*'Non-Residential TSM UC Adj'!K28</f>
        <v>0</v>
      </c>
      <c r="H28" s="23">
        <f>'Sch AL-TOU Cust Fcst'!$C27*'Non-Residential TSM UC Adj'!L28</f>
        <v>0</v>
      </c>
      <c r="I28" s="41">
        <f>IF(SUM(F28:H28)=0,0,SUM(F28:H28)/'Sch AL-TOU Cust Fcst'!C27)</f>
        <v>0</v>
      </c>
      <c r="J28" s="109">
        <f>'Sch AL-TOU Cust Fcst'!$D27*'Non-Residential TSM UC Adj'!J28</f>
        <v>0</v>
      </c>
      <c r="K28" s="23">
        <f>'Sch AL-TOU Cust Fcst'!$D27*'Non-Residential TSM UC Adj'!K28</f>
        <v>0</v>
      </c>
      <c r="L28" s="23">
        <f>'Sch AL-TOU Cust Fcst'!$D27*'Non-Residential TSM UC Adj'!L28</f>
        <v>0</v>
      </c>
      <c r="M28" s="41">
        <f>IF(SUM(J28:L28)=0,0,SUM(J28:L28)/'Sch AL-TOU Cust Fcst'!D27)</f>
        <v>0</v>
      </c>
      <c r="N28" s="109">
        <f>'Sch AL-TOU Cust Fcst'!$E27*'Non-Residential TSM UC Adj'!N28</f>
        <v>0</v>
      </c>
      <c r="O28" s="23">
        <f>'Sch AL-TOU Cust Fcst'!$E27*'Non-Residential TSM UC Adj'!O28</f>
        <v>0</v>
      </c>
      <c r="P28" s="23">
        <f>'Sch AL-TOU Cust Fcst'!$E27*'Non-Residential TSM UC Adj'!P28</f>
        <v>0</v>
      </c>
      <c r="Q28" s="41">
        <f>IF(SUM(N28:P28)=0,0,SUM(N28:P28)/'Sch AL-TOU Cust Fcst'!E27)</f>
        <v>0</v>
      </c>
      <c r="R28" s="109">
        <f t="shared" si="2"/>
        <v>0</v>
      </c>
      <c r="S28" s="23">
        <f t="shared" si="2"/>
        <v>0</v>
      </c>
      <c r="T28" s="23">
        <f t="shared" si="2"/>
        <v>0</v>
      </c>
      <c r="U28" s="41">
        <f>IF(SUM(R28:T28)=0,0,SUM(R28:T28)/'Sch AL-TOU Cust Fcst'!F27)</f>
        <v>0</v>
      </c>
      <c r="V28" s="33">
        <f>'Sch AL-TOU Cust Fcst'!$G27*'Non-Residential TSM UC Adj'!R28</f>
        <v>0</v>
      </c>
      <c r="W28" s="33">
        <f>'Sch AL-TOU Cust Fcst'!$G27*'Non-Residential TSM UC Adj'!S28</f>
        <v>0</v>
      </c>
      <c r="X28" s="33">
        <f>'Sch AL-TOU Cust Fcst'!$G27*'Non-Residential TSM UC Adj'!T28</f>
        <v>0</v>
      </c>
      <c r="Y28" s="41">
        <f>IF(SUM(V28:X28)=0,0,SUM(V28:X28)/'Sch AL-TOU Cust Fcst'!G27)</f>
        <v>0</v>
      </c>
      <c r="Z28" s="33">
        <f>'Sch AL-TOU Cust Fcst'!$H27*'Non-Residential TSM UC Adj'!R28</f>
        <v>0</v>
      </c>
      <c r="AA28" s="33">
        <f>'Sch AL-TOU Cust Fcst'!$H27*'Non-Residential TSM UC Adj'!W28</f>
        <v>0</v>
      </c>
      <c r="AB28" s="33">
        <f>'Sch AL-TOU Cust Fcst'!$H27*'Non-Residential TSM UC Adj'!X28</f>
        <v>0</v>
      </c>
      <c r="AC28" s="41">
        <f>IF(SUM(Z28:AB28)=0,0,SUM(Z28:AB28)/'Sch AL-TOU Cust Fcst'!H27)</f>
        <v>0</v>
      </c>
      <c r="AD28" s="23">
        <f t="shared" si="3"/>
        <v>0</v>
      </c>
      <c r="AE28" s="23">
        <f t="shared" si="4"/>
        <v>0</v>
      </c>
      <c r="AF28" s="23">
        <f t="shared" si="5"/>
        <v>0</v>
      </c>
      <c r="AG28" s="41">
        <f>IF(SUM(AD28:AF28)=0,0,SUM(AD28:AF28)/'Sch AL-TOU Cust Fcst'!I27)</f>
        <v>0</v>
      </c>
    </row>
    <row r="29" spans="1:33">
      <c r="A29" s="126" t="s">
        <v>21</v>
      </c>
      <c r="B29" s="109">
        <f>'Sch AL-TOU Cust Fcst'!$B28*'Non-Residential TSM UC Adj'!J29</f>
        <v>0</v>
      </c>
      <c r="C29" s="23">
        <f>'Sch AL-TOU Cust Fcst'!$B28*'Non-Residential TSM UC Adj'!K29</f>
        <v>0</v>
      </c>
      <c r="D29" s="23">
        <f>'Sch AL-TOU Cust Fcst'!$B28*'Non-Residential TSM UC Adj'!L29</f>
        <v>0</v>
      </c>
      <c r="E29" s="41">
        <f>IF(SUM(B29:D29)=0,0,SUM(B29:D29)/'Sch AL-TOU Cust Fcst'!B28)</f>
        <v>0</v>
      </c>
      <c r="F29" s="109">
        <f>'Sch AL-TOU Cust Fcst'!$C28*'Non-Residential TSM UC Adj'!J29</f>
        <v>0</v>
      </c>
      <c r="G29" s="23">
        <f>'Sch AL-TOU Cust Fcst'!$C28*'Non-Residential TSM UC Adj'!K29</f>
        <v>0</v>
      </c>
      <c r="H29" s="23">
        <f>'Sch AL-TOU Cust Fcst'!$C28*'Non-Residential TSM UC Adj'!L29</f>
        <v>0</v>
      </c>
      <c r="I29" s="41">
        <f>IF(SUM(F29:H29)=0,0,SUM(F29:H29)/'Sch AL-TOU Cust Fcst'!C28)</f>
        <v>0</v>
      </c>
      <c r="J29" s="109">
        <f>'Sch AL-TOU Cust Fcst'!$D28*'Non-Residential TSM UC Adj'!J29</f>
        <v>0</v>
      </c>
      <c r="K29" s="23">
        <f>'Sch AL-TOU Cust Fcst'!$D28*'Non-Residential TSM UC Adj'!K29</f>
        <v>0</v>
      </c>
      <c r="L29" s="23">
        <f>'Sch AL-TOU Cust Fcst'!$D28*'Non-Residential TSM UC Adj'!L29</f>
        <v>0</v>
      </c>
      <c r="M29" s="41">
        <f>IF(SUM(J29:L29)=0,0,SUM(J29:L29)/'Sch AL-TOU Cust Fcst'!D28)</f>
        <v>0</v>
      </c>
      <c r="N29" s="109">
        <f>'Sch AL-TOU Cust Fcst'!$E28*'Non-Residential TSM UC Adj'!N29</f>
        <v>0</v>
      </c>
      <c r="O29" s="23">
        <f>'Sch AL-TOU Cust Fcst'!$E28*'Non-Residential TSM UC Adj'!O29</f>
        <v>0</v>
      </c>
      <c r="P29" s="23">
        <f>'Sch AL-TOU Cust Fcst'!$E28*'Non-Residential TSM UC Adj'!P29</f>
        <v>0</v>
      </c>
      <c r="Q29" s="41">
        <f>IF(SUM(N29:P29)=0,0,SUM(N29:P29)/'Sch AL-TOU Cust Fcst'!E28)</f>
        <v>0</v>
      </c>
      <c r="R29" s="109">
        <f t="shared" si="2"/>
        <v>0</v>
      </c>
      <c r="S29" s="23">
        <f t="shared" si="2"/>
        <v>0</v>
      </c>
      <c r="T29" s="23">
        <f t="shared" si="2"/>
        <v>0</v>
      </c>
      <c r="U29" s="41">
        <f>IF(SUM(R29:T29)=0,0,SUM(R29:T29)/'Sch AL-TOU Cust Fcst'!F28)</f>
        <v>0</v>
      </c>
      <c r="V29" s="33">
        <f>'Sch AL-TOU Cust Fcst'!$G28*'Non-Residential TSM UC Adj'!R29</f>
        <v>0</v>
      </c>
      <c r="W29" s="33">
        <f>'Sch AL-TOU Cust Fcst'!$G28*'Non-Residential TSM UC Adj'!S29</f>
        <v>0</v>
      </c>
      <c r="X29" s="33">
        <f>'Sch AL-TOU Cust Fcst'!$G28*'Non-Residential TSM UC Adj'!T29</f>
        <v>0</v>
      </c>
      <c r="Y29" s="41">
        <f>IF(SUM(V29:X29)=0,0,SUM(V29:X29)/'Sch AL-TOU Cust Fcst'!G28)</f>
        <v>0</v>
      </c>
      <c r="Z29" s="33">
        <f>'Sch AL-TOU Cust Fcst'!$H28*'Non-Residential TSM UC Adj'!R29</f>
        <v>0</v>
      </c>
      <c r="AA29" s="33">
        <f>'Sch AL-TOU Cust Fcst'!$H28*'Non-Residential TSM UC Adj'!W29</f>
        <v>0</v>
      </c>
      <c r="AB29" s="33">
        <f>'Sch AL-TOU Cust Fcst'!$H28*'Non-Residential TSM UC Adj'!X29</f>
        <v>0</v>
      </c>
      <c r="AC29" s="41">
        <f>IF(SUM(Z29:AB29)=0,0,SUM(Z29:AB29)/'Sch AL-TOU Cust Fcst'!H28)</f>
        <v>0</v>
      </c>
      <c r="AD29" s="23">
        <f t="shared" si="3"/>
        <v>0</v>
      </c>
      <c r="AE29" s="23">
        <f t="shared" si="4"/>
        <v>0</v>
      </c>
      <c r="AF29" s="23">
        <f t="shared" si="5"/>
        <v>0</v>
      </c>
      <c r="AG29" s="41">
        <f>IF(SUM(AD29:AF29)=0,0,SUM(AD29:AF29)/'Sch AL-TOU Cust Fcst'!I28)</f>
        <v>0</v>
      </c>
    </row>
    <row r="30" spans="1:33">
      <c r="A30" s="126" t="s">
        <v>22</v>
      </c>
      <c r="B30" s="109">
        <f>'Sch AL-TOU Cust Fcst'!$B29*'Non-Residential TSM UC Adj'!J30</f>
        <v>0</v>
      </c>
      <c r="C30" s="23">
        <f>'Sch AL-TOU Cust Fcst'!$B29*'Non-Residential TSM UC Adj'!K30</f>
        <v>0</v>
      </c>
      <c r="D30" s="23">
        <f>'Sch AL-TOU Cust Fcst'!$B29*'Non-Residential TSM UC Adj'!L30</f>
        <v>0</v>
      </c>
      <c r="E30" s="41">
        <f>IF(SUM(B30:D30)=0,0,SUM(B30:D30)/'Sch AL-TOU Cust Fcst'!B29)</f>
        <v>0</v>
      </c>
      <c r="F30" s="109">
        <f>'Sch AL-TOU Cust Fcst'!$C29*'Non-Residential TSM UC Adj'!J30</f>
        <v>0</v>
      </c>
      <c r="G30" s="23">
        <f>'Sch AL-TOU Cust Fcst'!$C29*'Non-Residential TSM UC Adj'!K30</f>
        <v>0</v>
      </c>
      <c r="H30" s="23">
        <f>'Sch AL-TOU Cust Fcst'!$C29*'Non-Residential TSM UC Adj'!L30</f>
        <v>0</v>
      </c>
      <c r="I30" s="41">
        <f>IF(SUM(F30:H30)=0,0,SUM(F30:H30)/'Sch AL-TOU Cust Fcst'!C29)</f>
        <v>0</v>
      </c>
      <c r="J30" s="109">
        <f>'Sch AL-TOU Cust Fcst'!$D29*'Non-Residential TSM UC Adj'!J30</f>
        <v>0</v>
      </c>
      <c r="K30" s="23">
        <f>'Sch AL-TOU Cust Fcst'!$D29*'Non-Residential TSM UC Adj'!K30</f>
        <v>0</v>
      </c>
      <c r="L30" s="23">
        <f>'Sch AL-TOU Cust Fcst'!$D29*'Non-Residential TSM UC Adj'!L30</f>
        <v>0</v>
      </c>
      <c r="M30" s="41">
        <f>IF(SUM(J30:L30)=0,0,SUM(J30:L30)/'Sch AL-TOU Cust Fcst'!D29)</f>
        <v>0</v>
      </c>
      <c r="N30" s="109">
        <f>'Sch AL-TOU Cust Fcst'!$E29*'Non-Residential TSM UC Adj'!N30</f>
        <v>0</v>
      </c>
      <c r="O30" s="23">
        <f>'Sch AL-TOU Cust Fcst'!$E29*'Non-Residential TSM UC Adj'!O30</f>
        <v>0</v>
      </c>
      <c r="P30" s="23">
        <f>'Sch AL-TOU Cust Fcst'!$E29*'Non-Residential TSM UC Adj'!P30</f>
        <v>0</v>
      </c>
      <c r="Q30" s="41">
        <f>IF(SUM(N30:P30)=0,0,SUM(N30:P30)/'Sch AL-TOU Cust Fcst'!E29)</f>
        <v>0</v>
      </c>
      <c r="R30" s="109">
        <f t="shared" si="2"/>
        <v>0</v>
      </c>
      <c r="S30" s="23">
        <f t="shared" si="2"/>
        <v>0</v>
      </c>
      <c r="T30" s="23">
        <f t="shared" si="2"/>
        <v>0</v>
      </c>
      <c r="U30" s="41">
        <f>IF(SUM(R30:T30)=0,0,SUM(R30:T30)/'Sch AL-TOU Cust Fcst'!F29)</f>
        <v>0</v>
      </c>
      <c r="V30" s="33">
        <f>'Sch AL-TOU Cust Fcst'!$G29*'Non-Residential TSM UC Adj'!R30</f>
        <v>0</v>
      </c>
      <c r="W30" s="33">
        <f>'Sch AL-TOU Cust Fcst'!$G29*'Non-Residential TSM UC Adj'!S30</f>
        <v>0</v>
      </c>
      <c r="X30" s="33">
        <f>'Sch AL-TOU Cust Fcst'!$G29*'Non-Residential TSM UC Adj'!T30</f>
        <v>0</v>
      </c>
      <c r="Y30" s="41">
        <f>IF(SUM(V30:X30)=0,0,SUM(V30:X30)/'Sch AL-TOU Cust Fcst'!G29)</f>
        <v>0</v>
      </c>
      <c r="Z30" s="33">
        <f>'Sch AL-TOU Cust Fcst'!$H29*'Non-Residential TSM UC Adj'!R30</f>
        <v>0</v>
      </c>
      <c r="AA30" s="33">
        <f>'Sch AL-TOU Cust Fcst'!$H29*'Non-Residential TSM UC Adj'!W30</f>
        <v>0</v>
      </c>
      <c r="AB30" s="33">
        <f>'Sch AL-TOU Cust Fcst'!$H29*'Non-Residential TSM UC Adj'!X30</f>
        <v>0</v>
      </c>
      <c r="AC30" s="41">
        <f>IF(SUM(Z30:AB30)=0,0,SUM(Z30:AB30)/'Sch AL-TOU Cust Fcst'!H29)</f>
        <v>0</v>
      </c>
      <c r="AD30" s="23">
        <f t="shared" si="3"/>
        <v>0</v>
      </c>
      <c r="AE30" s="23">
        <f t="shared" si="4"/>
        <v>0</v>
      </c>
      <c r="AF30" s="23">
        <f t="shared" si="5"/>
        <v>0</v>
      </c>
      <c r="AG30" s="41">
        <f>IF(SUM(AD30:AF30)=0,0,SUM(AD30:AF30)/'Sch AL-TOU Cust Fcst'!I29)</f>
        <v>0</v>
      </c>
    </row>
    <row r="31" spans="1:33">
      <c r="A31" s="124" t="s">
        <v>23</v>
      </c>
      <c r="B31" s="109">
        <f>'Sch AL-TOU Cust Fcst'!$B30*'Non-Residential TSM UC Adj'!J31</f>
        <v>0</v>
      </c>
      <c r="C31" s="23">
        <f>'Sch AL-TOU Cust Fcst'!$B30*'Non-Residential TSM UC Adj'!K31</f>
        <v>0</v>
      </c>
      <c r="D31" s="23">
        <f>'Sch AL-TOU Cust Fcst'!$B30*'Non-Residential TSM UC Adj'!L31</f>
        <v>0</v>
      </c>
      <c r="E31" s="41">
        <f>IF(SUM(B31:D31)=0,0,SUM(B31:D31)/'Sch AL-TOU Cust Fcst'!B30)</f>
        <v>0</v>
      </c>
      <c r="F31" s="109">
        <f>'Sch AL-TOU Cust Fcst'!$C30*'Non-Residential TSM UC Adj'!J31</f>
        <v>0</v>
      </c>
      <c r="G31" s="23">
        <f>'Sch AL-TOU Cust Fcst'!$C30*'Non-Residential TSM UC Adj'!K31</f>
        <v>0</v>
      </c>
      <c r="H31" s="23">
        <f>'Sch AL-TOU Cust Fcst'!$C30*'Non-Residential TSM UC Adj'!L31</f>
        <v>0</v>
      </c>
      <c r="I31" s="41">
        <f>IF(SUM(F31:H31)=0,0,SUM(F31:H31)/'Sch AL-TOU Cust Fcst'!C30)</f>
        <v>0</v>
      </c>
      <c r="J31" s="109">
        <f>'Sch AL-TOU Cust Fcst'!$D30*'Non-Residential TSM UC Adj'!J31</f>
        <v>0</v>
      </c>
      <c r="K31" s="23">
        <f>'Sch AL-TOU Cust Fcst'!$D30*'Non-Residential TSM UC Adj'!K31</f>
        <v>0</v>
      </c>
      <c r="L31" s="23">
        <f>'Sch AL-TOU Cust Fcst'!$D30*'Non-Residential TSM UC Adj'!L31</f>
        <v>0</v>
      </c>
      <c r="M31" s="41">
        <f>IF(SUM(J31:L31)=0,0,SUM(J31:L31)/'Sch AL-TOU Cust Fcst'!D30)</f>
        <v>0</v>
      </c>
      <c r="N31" s="109">
        <f>'Sch AL-TOU Cust Fcst'!$E30*'Non-Residential TSM UC Adj'!N31</f>
        <v>0</v>
      </c>
      <c r="O31" s="23">
        <f>'Sch AL-TOU Cust Fcst'!$E30*'Non-Residential TSM UC Adj'!O31</f>
        <v>0</v>
      </c>
      <c r="P31" s="23">
        <f>'Sch AL-TOU Cust Fcst'!$E30*'Non-Residential TSM UC Adj'!P31</f>
        <v>0</v>
      </c>
      <c r="Q31" s="41">
        <f>IF(SUM(N31:P31)=0,0,SUM(N31:P31)/'Sch AL-TOU Cust Fcst'!E30)</f>
        <v>0</v>
      </c>
      <c r="R31" s="109">
        <f t="shared" si="2"/>
        <v>0</v>
      </c>
      <c r="S31" s="23">
        <f t="shared" si="2"/>
        <v>0</v>
      </c>
      <c r="T31" s="23">
        <f t="shared" si="2"/>
        <v>0</v>
      </c>
      <c r="U31" s="41">
        <f>IF(SUM(R31:T31)=0,0,SUM(R31:T31)/'Sch AL-TOU Cust Fcst'!F30)</f>
        <v>0</v>
      </c>
      <c r="V31" s="33">
        <f>'Sch AL-TOU Cust Fcst'!$G30*'Non-Residential TSM UC Adj'!R31</f>
        <v>0</v>
      </c>
      <c r="W31" s="33">
        <f>'Sch AL-TOU Cust Fcst'!$G30*'Non-Residential TSM UC Adj'!S31</f>
        <v>0</v>
      </c>
      <c r="X31" s="33">
        <f>'Sch AL-TOU Cust Fcst'!$G30*'Non-Residential TSM UC Adj'!T31</f>
        <v>0</v>
      </c>
      <c r="Y31" s="41">
        <f>IF(SUM(V31:X31)=0,0,SUM(V31:X31)/'Sch AL-TOU Cust Fcst'!G30)</f>
        <v>0</v>
      </c>
      <c r="Z31" s="33">
        <f>'Sch AL-TOU Cust Fcst'!$H30*'Non-Residential TSM UC Adj'!R31</f>
        <v>0</v>
      </c>
      <c r="AA31" s="33">
        <f>'Sch AL-TOU Cust Fcst'!$H30*'Non-Residential TSM UC Adj'!W31</f>
        <v>0</v>
      </c>
      <c r="AB31" s="33">
        <f>'Sch AL-TOU Cust Fcst'!$H30*'Non-Residential TSM UC Adj'!X31</f>
        <v>0</v>
      </c>
      <c r="AC31" s="41">
        <f>IF(SUM(Z31:AB31)=0,0,SUM(Z31:AB31)/'Sch AL-TOU Cust Fcst'!H30)</f>
        <v>0</v>
      </c>
      <c r="AD31" s="23">
        <f t="shared" si="3"/>
        <v>0</v>
      </c>
      <c r="AE31" s="23">
        <f t="shared" si="4"/>
        <v>0</v>
      </c>
      <c r="AF31" s="23">
        <f t="shared" si="5"/>
        <v>0</v>
      </c>
      <c r="AG31" s="41">
        <f>IF(SUM(AD31:AF31)=0,0,SUM(AD31:AF31)/'Sch AL-TOU Cust Fcst'!I30)</f>
        <v>0</v>
      </c>
    </row>
    <row r="32" spans="1:33">
      <c r="A32" s="124" t="s">
        <v>24</v>
      </c>
      <c r="B32" s="109">
        <f>'Sch AL-TOU Cust Fcst'!$B31*'Non-Residential TSM UC Adj'!J32</f>
        <v>0</v>
      </c>
      <c r="C32" s="23">
        <f>'Sch AL-TOU Cust Fcst'!$B31*'Non-Residential TSM UC Adj'!K32</f>
        <v>0</v>
      </c>
      <c r="D32" s="23">
        <f>'Sch AL-TOU Cust Fcst'!$B31*'Non-Residential TSM UC Adj'!L32</f>
        <v>0</v>
      </c>
      <c r="E32" s="41">
        <f>IF(SUM(B32:D32)=0,0,SUM(B32:D32)/'Sch AL-TOU Cust Fcst'!B31)</f>
        <v>0</v>
      </c>
      <c r="F32" s="109">
        <f>'Sch AL-TOU Cust Fcst'!$C31*'Non-Residential TSM UC Adj'!J32</f>
        <v>0</v>
      </c>
      <c r="G32" s="23">
        <f>'Sch AL-TOU Cust Fcst'!$C31*'Non-Residential TSM UC Adj'!K32</f>
        <v>0</v>
      </c>
      <c r="H32" s="23">
        <f>'Sch AL-TOU Cust Fcst'!$C31*'Non-Residential TSM UC Adj'!L32</f>
        <v>0</v>
      </c>
      <c r="I32" s="41">
        <f>IF(SUM(F32:H32)=0,0,SUM(F32:H32)/'Sch AL-TOU Cust Fcst'!C31)</f>
        <v>0</v>
      </c>
      <c r="J32" s="109">
        <f>'Sch AL-TOU Cust Fcst'!$D31*'Non-Residential TSM UC Adj'!J32</f>
        <v>0</v>
      </c>
      <c r="K32" s="23">
        <f>'Sch AL-TOU Cust Fcst'!$D31*'Non-Residential TSM UC Adj'!K32</f>
        <v>0</v>
      </c>
      <c r="L32" s="23">
        <f>'Sch AL-TOU Cust Fcst'!$D31*'Non-Residential TSM UC Adj'!L32</f>
        <v>0</v>
      </c>
      <c r="M32" s="41">
        <f>IF(SUM(J32:L32)=0,0,SUM(J32:L32)/'Sch AL-TOU Cust Fcst'!D31)</f>
        <v>0</v>
      </c>
      <c r="N32" s="109">
        <f>'Sch AL-TOU Cust Fcst'!$E31*'Non-Residential TSM UC Adj'!N32</f>
        <v>0</v>
      </c>
      <c r="O32" s="23">
        <f>'Sch AL-TOU Cust Fcst'!$E31*'Non-Residential TSM UC Adj'!O32</f>
        <v>0</v>
      </c>
      <c r="P32" s="23">
        <f>'Sch AL-TOU Cust Fcst'!$E31*'Non-Residential TSM UC Adj'!P32</f>
        <v>0</v>
      </c>
      <c r="Q32" s="41">
        <f>IF(SUM(N32:P32)=0,0,SUM(N32:P32)/'Sch AL-TOU Cust Fcst'!E31)</f>
        <v>0</v>
      </c>
      <c r="R32" s="109">
        <f t="shared" si="2"/>
        <v>0</v>
      </c>
      <c r="S32" s="23">
        <f t="shared" si="2"/>
        <v>0</v>
      </c>
      <c r="T32" s="23">
        <f t="shared" si="2"/>
        <v>0</v>
      </c>
      <c r="U32" s="41">
        <f>IF(SUM(R32:T32)=0,0,SUM(R32:T32)/'Sch AL-TOU Cust Fcst'!F31)</f>
        <v>0</v>
      </c>
      <c r="V32" s="33">
        <f>'Sch AL-TOU Cust Fcst'!$G31*'Non-Residential TSM UC Adj'!R32</f>
        <v>0</v>
      </c>
      <c r="W32" s="33">
        <f>'Sch AL-TOU Cust Fcst'!$G31*'Non-Residential TSM UC Adj'!S32</f>
        <v>0</v>
      </c>
      <c r="X32" s="33">
        <f>'Sch AL-TOU Cust Fcst'!$G31*'Non-Residential TSM UC Adj'!T32</f>
        <v>0</v>
      </c>
      <c r="Y32" s="41">
        <f>IF(SUM(V32:X32)=0,0,SUM(V32:X32)/'Sch AL-TOU Cust Fcst'!G31)</f>
        <v>0</v>
      </c>
      <c r="Z32" s="33">
        <f>'Sch AL-TOU Cust Fcst'!$H31*'Non-Residential TSM UC Adj'!R32</f>
        <v>0</v>
      </c>
      <c r="AA32" s="33">
        <f>'Sch AL-TOU Cust Fcst'!$H31*'Non-Residential TSM UC Adj'!W32</f>
        <v>0</v>
      </c>
      <c r="AB32" s="33">
        <f>'Sch AL-TOU Cust Fcst'!$H31*'Non-Residential TSM UC Adj'!X32</f>
        <v>0</v>
      </c>
      <c r="AC32" s="41">
        <f>IF(SUM(Z32:AB32)=0,0,SUM(Z32:AB32)/'Sch AL-TOU Cust Fcst'!H31)</f>
        <v>0</v>
      </c>
      <c r="AD32" s="23">
        <f t="shared" si="3"/>
        <v>0</v>
      </c>
      <c r="AE32" s="23">
        <f t="shared" si="4"/>
        <v>0</v>
      </c>
      <c r="AF32" s="23">
        <f t="shared" si="5"/>
        <v>0</v>
      </c>
      <c r="AG32" s="41">
        <f>IF(SUM(AD32:AF32)=0,0,SUM(AD32:AF32)/'Sch AL-TOU Cust Fcst'!I31)</f>
        <v>0</v>
      </c>
    </row>
    <row r="33" spans="1:33">
      <c r="A33" s="124" t="s">
        <v>25</v>
      </c>
      <c r="B33" s="109">
        <f>'Sch AL-TOU Cust Fcst'!$B32*'Non-Residential TSM UC Adj'!J33</f>
        <v>0</v>
      </c>
      <c r="C33" s="23">
        <f>'Sch AL-TOU Cust Fcst'!$B32*'Non-Residential TSM UC Adj'!K33</f>
        <v>0</v>
      </c>
      <c r="D33" s="23">
        <f>'Sch AL-TOU Cust Fcst'!$B32*'Non-Residential TSM UC Adj'!L33</f>
        <v>0</v>
      </c>
      <c r="E33" s="41">
        <f>IF(SUM(B33:D33)=0,0,SUM(B33:D33)/'Sch AL-TOU Cust Fcst'!B32)</f>
        <v>0</v>
      </c>
      <c r="F33" s="109">
        <f>'Sch AL-TOU Cust Fcst'!$C32*'Non-Residential TSM UC Adj'!J33</f>
        <v>0</v>
      </c>
      <c r="G33" s="23">
        <f>'Sch AL-TOU Cust Fcst'!$C32*'Non-Residential TSM UC Adj'!K33</f>
        <v>0</v>
      </c>
      <c r="H33" s="23">
        <f>'Sch AL-TOU Cust Fcst'!$C32*'Non-Residential TSM UC Adj'!L33</f>
        <v>0</v>
      </c>
      <c r="I33" s="41">
        <f>IF(SUM(F33:H33)=0,0,SUM(F33:H33)/'Sch AL-TOU Cust Fcst'!C32)</f>
        <v>0</v>
      </c>
      <c r="J33" s="109">
        <f>'Sch AL-TOU Cust Fcst'!$D32*'Non-Residential TSM UC Adj'!J33</f>
        <v>0</v>
      </c>
      <c r="K33" s="23">
        <f>'Sch AL-TOU Cust Fcst'!$D32*'Non-Residential TSM UC Adj'!K33</f>
        <v>0</v>
      </c>
      <c r="L33" s="23">
        <f>'Sch AL-TOU Cust Fcst'!$D32*'Non-Residential TSM UC Adj'!L33</f>
        <v>0</v>
      </c>
      <c r="M33" s="41">
        <f>IF(SUM(J33:L33)=0,0,SUM(J33:L33)/'Sch AL-TOU Cust Fcst'!D32)</f>
        <v>0</v>
      </c>
      <c r="N33" s="109">
        <f>'Sch AL-TOU Cust Fcst'!$E32*'Non-Residential TSM UC Adj'!N33</f>
        <v>0</v>
      </c>
      <c r="O33" s="23">
        <f>'Sch AL-TOU Cust Fcst'!$E32*'Non-Residential TSM UC Adj'!O33</f>
        <v>0</v>
      </c>
      <c r="P33" s="23">
        <f>'Sch AL-TOU Cust Fcst'!$E32*'Non-Residential TSM UC Adj'!P33</f>
        <v>0</v>
      </c>
      <c r="Q33" s="41">
        <f>IF(SUM(N33:P33)=0,0,SUM(N33:P33)/'Sch AL-TOU Cust Fcst'!E32)</f>
        <v>0</v>
      </c>
      <c r="R33" s="109">
        <f t="shared" si="2"/>
        <v>0</v>
      </c>
      <c r="S33" s="23">
        <f t="shared" si="2"/>
        <v>0</v>
      </c>
      <c r="T33" s="23">
        <f t="shared" si="2"/>
        <v>0</v>
      </c>
      <c r="U33" s="41">
        <f>IF(SUM(R33:T33)=0,0,SUM(R33:T33)/'Sch AL-TOU Cust Fcst'!F32)</f>
        <v>0</v>
      </c>
      <c r="V33" s="33">
        <f>'Sch AL-TOU Cust Fcst'!$G32*'Non-Residential TSM UC Adj'!R33</f>
        <v>0</v>
      </c>
      <c r="W33" s="33">
        <f>'Sch AL-TOU Cust Fcst'!$G32*'Non-Residential TSM UC Adj'!S33</f>
        <v>0</v>
      </c>
      <c r="X33" s="33">
        <f>'Sch AL-TOU Cust Fcst'!$G32*'Non-Residential TSM UC Adj'!T33</f>
        <v>0</v>
      </c>
      <c r="Y33" s="41">
        <f>IF(SUM(V33:X33)=0,0,SUM(V33:X33)/'Sch AL-TOU Cust Fcst'!G32)</f>
        <v>0</v>
      </c>
      <c r="Z33" s="33">
        <f>'Sch AL-TOU Cust Fcst'!$H32*'Non-Residential TSM UC Adj'!R33</f>
        <v>0</v>
      </c>
      <c r="AA33" s="33">
        <f>'Sch AL-TOU Cust Fcst'!$H32*'Non-Residential TSM UC Adj'!W33</f>
        <v>0</v>
      </c>
      <c r="AB33" s="33">
        <f>'Sch AL-TOU Cust Fcst'!$H32*'Non-Residential TSM UC Adj'!X33</f>
        <v>0</v>
      </c>
      <c r="AC33" s="41">
        <f>IF(SUM(Z33:AB33)=0,0,SUM(Z33:AB33)/'Sch AL-TOU Cust Fcst'!H32)</f>
        <v>0</v>
      </c>
      <c r="AD33" s="23">
        <f t="shared" si="3"/>
        <v>0</v>
      </c>
      <c r="AE33" s="23">
        <f t="shared" si="4"/>
        <v>0</v>
      </c>
      <c r="AF33" s="23">
        <f t="shared" si="5"/>
        <v>0</v>
      </c>
      <c r="AG33" s="41">
        <f>IF(SUM(AD33:AF33)=0,0,SUM(AD33:AF33)/'Sch AL-TOU Cust Fcst'!I32)</f>
        <v>0</v>
      </c>
    </row>
    <row r="34" spans="1:33">
      <c r="A34" s="124" t="s">
        <v>111</v>
      </c>
      <c r="B34" s="109">
        <f>'Sch AL-TOU Cust Fcst'!$B33*'Non-Residential TSM UC Adj'!J34</f>
        <v>0</v>
      </c>
      <c r="C34" s="23">
        <f>'Sch AL-TOU Cust Fcst'!$B33*'Non-Residential TSM UC Adj'!K34</f>
        <v>0</v>
      </c>
      <c r="D34" s="23">
        <f>'Sch AL-TOU Cust Fcst'!$B33*'Non-Residential TSM UC Adj'!L34</f>
        <v>0</v>
      </c>
      <c r="E34" s="41">
        <f>IF(SUM(B34:D34)=0,0,SUM(B34:D34)/'Sch AL-TOU Cust Fcst'!B33)</f>
        <v>0</v>
      </c>
      <c r="F34" s="109">
        <f>'Sch AL-TOU Cust Fcst'!$C33*'Non-Residential TSM UC Adj'!J34</f>
        <v>0</v>
      </c>
      <c r="G34" s="23">
        <f>'Sch AL-TOU Cust Fcst'!$C33*'Non-Residential TSM UC Adj'!K34</f>
        <v>0</v>
      </c>
      <c r="H34" s="23">
        <f>'Sch AL-TOU Cust Fcst'!$C33*'Non-Residential TSM UC Adj'!L34</f>
        <v>0</v>
      </c>
      <c r="I34" s="41">
        <f>IF(SUM(F34:H34)=0,0,SUM(F34:H34)/'Sch AL-TOU Cust Fcst'!C33)</f>
        <v>0</v>
      </c>
      <c r="J34" s="109">
        <f>'Sch AL-TOU Cust Fcst'!$D33*'Non-Residential TSM UC Adj'!J34</f>
        <v>0</v>
      </c>
      <c r="K34" s="23">
        <f>'Sch AL-TOU Cust Fcst'!$D33*'Non-Residential TSM UC Adj'!K34</f>
        <v>0</v>
      </c>
      <c r="L34" s="23">
        <f>'Sch AL-TOU Cust Fcst'!$D33*'Non-Residential TSM UC Adj'!L34</f>
        <v>0</v>
      </c>
      <c r="M34" s="41">
        <f>IF(SUM(J34:L34)=0,0,SUM(J34:L34)/'Sch AL-TOU Cust Fcst'!D33)</f>
        <v>0</v>
      </c>
      <c r="N34" s="109">
        <f>'Sch AL-TOU Cust Fcst'!$E33*'Non-Residential TSM UC Adj'!N34</f>
        <v>0</v>
      </c>
      <c r="O34" s="23">
        <f>'Sch AL-TOU Cust Fcst'!$E33*'Non-Residential TSM UC Adj'!O34</f>
        <v>0</v>
      </c>
      <c r="P34" s="23">
        <f>'Sch AL-TOU Cust Fcst'!$E33*'Non-Residential TSM UC Adj'!P34</f>
        <v>0</v>
      </c>
      <c r="Q34" s="41">
        <f>IF(SUM(N34:P34)=0,0,SUM(N34:P34)/'Sch AL-TOU Cust Fcst'!E33)</f>
        <v>0</v>
      </c>
      <c r="R34" s="109">
        <f t="shared" si="2"/>
        <v>0</v>
      </c>
      <c r="S34" s="23">
        <f t="shared" si="2"/>
        <v>0</v>
      </c>
      <c r="T34" s="23">
        <f t="shared" si="2"/>
        <v>0</v>
      </c>
      <c r="U34" s="41">
        <f>IF(SUM(R34:T34)=0,0,SUM(R34:T34)/'Sch AL-TOU Cust Fcst'!F33)</f>
        <v>0</v>
      </c>
      <c r="V34" s="33">
        <f>'Sch AL-TOU Cust Fcst'!$G33*'Non-Residential TSM UC Adj'!R34</f>
        <v>0</v>
      </c>
      <c r="W34" s="33">
        <f>'Sch AL-TOU Cust Fcst'!$G33*'Non-Residential TSM UC Adj'!S34</f>
        <v>0</v>
      </c>
      <c r="X34" s="33">
        <f>'Sch AL-TOU Cust Fcst'!$G33*'Non-Residential TSM UC Adj'!T34</f>
        <v>0</v>
      </c>
      <c r="Y34" s="41">
        <f>IF(SUM(V34:X34)=0,0,SUM(V34:X34)/'Sch AL-TOU Cust Fcst'!G33)</f>
        <v>0</v>
      </c>
      <c r="Z34" s="33">
        <f>'Sch AL-TOU Cust Fcst'!$H33*'Non-Residential TSM UC Adj'!R34</f>
        <v>0</v>
      </c>
      <c r="AA34" s="33">
        <f>'Sch AL-TOU Cust Fcst'!$H33*'Non-Residential TSM UC Adj'!W34</f>
        <v>0</v>
      </c>
      <c r="AB34" s="33">
        <f>'Sch AL-TOU Cust Fcst'!$H33*'Non-Residential TSM UC Adj'!X34</f>
        <v>0</v>
      </c>
      <c r="AC34" s="41">
        <f>IF(SUM(Z34:AB34)=0,0,SUM(Z34:AB34)/'Sch AL-TOU Cust Fcst'!H33)</f>
        <v>0</v>
      </c>
      <c r="AD34" s="23">
        <f t="shared" si="3"/>
        <v>0</v>
      </c>
      <c r="AE34" s="23">
        <f t="shared" si="4"/>
        <v>0</v>
      </c>
      <c r="AF34" s="23">
        <f t="shared" si="5"/>
        <v>0</v>
      </c>
      <c r="AG34" s="41">
        <f>IF(SUM(AD34:AF34)=0,0,SUM(AD34:AF34)/'Sch AL-TOU Cust Fcst'!I33)</f>
        <v>0</v>
      </c>
    </row>
    <row r="35" spans="1:33">
      <c r="A35" s="124" t="s">
        <v>112</v>
      </c>
      <c r="B35" s="109">
        <f>'Sch AL-TOU Cust Fcst'!$B34*'Non-Residential TSM UC Adj'!J35</f>
        <v>0</v>
      </c>
      <c r="C35" s="23">
        <f>'Sch AL-TOU Cust Fcst'!$B34*'Non-Residential TSM UC Adj'!K35</f>
        <v>0</v>
      </c>
      <c r="D35" s="23">
        <f>'Sch AL-TOU Cust Fcst'!$B34*'Non-Residential TSM UC Adj'!L35</f>
        <v>0</v>
      </c>
      <c r="E35" s="41">
        <f>IF(SUM(B35:D35)=0,0,SUM(B35:D35)/'Sch AL-TOU Cust Fcst'!B34)</f>
        <v>0</v>
      </c>
      <c r="F35" s="109">
        <f>'Sch AL-TOU Cust Fcst'!$C34*'Non-Residential TSM UC Adj'!J35</f>
        <v>0</v>
      </c>
      <c r="G35" s="23">
        <f>'Sch AL-TOU Cust Fcst'!$C34*'Non-Residential TSM UC Adj'!K35</f>
        <v>0</v>
      </c>
      <c r="H35" s="23">
        <f>'Sch AL-TOU Cust Fcst'!$C34*'Non-Residential TSM UC Adj'!L35</f>
        <v>0</v>
      </c>
      <c r="I35" s="41">
        <f>IF(SUM(F35:H35)=0,0,SUM(F35:H35)/'Sch AL-TOU Cust Fcst'!C34)</f>
        <v>0</v>
      </c>
      <c r="J35" s="109">
        <f>'Sch AL-TOU Cust Fcst'!$D34*'Non-Residential TSM UC Adj'!J35</f>
        <v>0</v>
      </c>
      <c r="K35" s="23">
        <f>'Sch AL-TOU Cust Fcst'!$D34*'Non-Residential TSM UC Adj'!K35</f>
        <v>0</v>
      </c>
      <c r="L35" s="23">
        <f>'Sch AL-TOU Cust Fcst'!$D34*'Non-Residential TSM UC Adj'!L35</f>
        <v>0</v>
      </c>
      <c r="M35" s="41">
        <f>IF(SUM(J35:L35)=0,0,SUM(J35:L35)/'Sch AL-TOU Cust Fcst'!D34)</f>
        <v>0</v>
      </c>
      <c r="N35" s="109">
        <f>'Sch AL-TOU Cust Fcst'!$E34*'Non-Residential TSM UC Adj'!N35</f>
        <v>0</v>
      </c>
      <c r="O35" s="23">
        <f>'Sch AL-TOU Cust Fcst'!$E34*'Non-Residential TSM UC Adj'!O35</f>
        <v>0</v>
      </c>
      <c r="P35" s="23">
        <f>'Sch AL-TOU Cust Fcst'!$E34*'Non-Residential TSM UC Adj'!P35</f>
        <v>0</v>
      </c>
      <c r="Q35" s="41">
        <f>IF(SUM(N35:P35)=0,0,SUM(N35:P35)/'Sch AL-TOU Cust Fcst'!E34)</f>
        <v>0</v>
      </c>
      <c r="R35" s="109">
        <f t="shared" si="2"/>
        <v>0</v>
      </c>
      <c r="S35" s="23">
        <f t="shared" si="2"/>
        <v>0</v>
      </c>
      <c r="T35" s="23">
        <f t="shared" si="2"/>
        <v>0</v>
      </c>
      <c r="U35" s="41">
        <f>IF(SUM(R35:T35)=0,0,SUM(R35:T35)/'Sch AL-TOU Cust Fcst'!F34)</f>
        <v>0</v>
      </c>
      <c r="V35" s="33">
        <f>'Sch AL-TOU Cust Fcst'!$G34*'Non-Residential TSM UC Adj'!R35</f>
        <v>0</v>
      </c>
      <c r="W35" s="33">
        <f>'Sch AL-TOU Cust Fcst'!$G34*'Non-Residential TSM UC Adj'!S35</f>
        <v>0</v>
      </c>
      <c r="X35" s="33">
        <f>'Sch AL-TOU Cust Fcst'!$G34*'Non-Residential TSM UC Adj'!T35</f>
        <v>0</v>
      </c>
      <c r="Y35" s="41">
        <f>IF(SUM(V35:X35)=0,0,SUM(V35:X35)/'Sch AL-TOU Cust Fcst'!G34)</f>
        <v>0</v>
      </c>
      <c r="Z35" s="33">
        <f>'Sch AL-TOU Cust Fcst'!$H34*'Non-Residential TSM UC Adj'!R35</f>
        <v>0</v>
      </c>
      <c r="AA35" s="33">
        <f>'Sch AL-TOU Cust Fcst'!$H34*'Non-Residential TSM UC Adj'!W35</f>
        <v>0</v>
      </c>
      <c r="AB35" s="33">
        <f>'Sch AL-TOU Cust Fcst'!$H34*'Non-Residential TSM UC Adj'!X35</f>
        <v>0</v>
      </c>
      <c r="AC35" s="41">
        <f>IF(SUM(Z35:AB35)=0,0,SUM(Z35:AB35)/'Sch AL-TOU Cust Fcst'!H34)</f>
        <v>0</v>
      </c>
      <c r="AD35" s="23">
        <f t="shared" si="3"/>
        <v>0</v>
      </c>
      <c r="AE35" s="23">
        <f t="shared" si="4"/>
        <v>0</v>
      </c>
      <c r="AF35" s="23">
        <f t="shared" si="5"/>
        <v>0</v>
      </c>
      <c r="AG35" s="41">
        <f>IF(SUM(AD35:AF35)=0,0,SUM(AD35:AF35)/'Sch AL-TOU Cust Fcst'!I34)</f>
        <v>0</v>
      </c>
    </row>
    <row r="36" spans="1:33">
      <c r="A36" s="126" t="s">
        <v>26</v>
      </c>
      <c r="B36" s="109">
        <f>'Sch AL-TOU Cust Fcst'!$B35*'Non-Residential TSM UC Adj'!J36</f>
        <v>0</v>
      </c>
      <c r="C36" s="23">
        <f>'Sch AL-TOU Cust Fcst'!$B35*'Non-Residential TSM UC Adj'!K36</f>
        <v>0</v>
      </c>
      <c r="D36" s="23">
        <f>'Sch AL-TOU Cust Fcst'!$B35*'Non-Residential TSM UC Adj'!L36</f>
        <v>0</v>
      </c>
      <c r="E36" s="41">
        <f>IF(SUM(B36:D36)=0,0,SUM(B36:D36)/'Sch AL-TOU Cust Fcst'!B35)</f>
        <v>0</v>
      </c>
      <c r="F36" s="109">
        <f>'Sch AL-TOU Cust Fcst'!$C35*'Non-Residential TSM UC Adj'!J36</f>
        <v>0</v>
      </c>
      <c r="G36" s="23">
        <f>'Sch AL-TOU Cust Fcst'!$C35*'Non-Residential TSM UC Adj'!K36</f>
        <v>0</v>
      </c>
      <c r="H36" s="23">
        <f>'Sch AL-TOU Cust Fcst'!$C35*'Non-Residential TSM UC Adj'!L36</f>
        <v>0</v>
      </c>
      <c r="I36" s="41">
        <f>IF(SUM(F36:H36)=0,0,SUM(F36:H36)/'Sch AL-TOU Cust Fcst'!C35)</f>
        <v>0</v>
      </c>
      <c r="J36" s="109">
        <f>'Sch AL-TOU Cust Fcst'!$D35*'Non-Residential TSM UC Adj'!J36</f>
        <v>0</v>
      </c>
      <c r="K36" s="23">
        <f>'Sch AL-TOU Cust Fcst'!$D35*'Non-Residential TSM UC Adj'!K36</f>
        <v>0</v>
      </c>
      <c r="L36" s="23">
        <f>'Sch AL-TOU Cust Fcst'!$D35*'Non-Residential TSM UC Adj'!L36</f>
        <v>0</v>
      </c>
      <c r="M36" s="41">
        <f>IF(SUM(J36:L36)=0,0,SUM(J36:L36)/'Sch AL-TOU Cust Fcst'!D35)</f>
        <v>0</v>
      </c>
      <c r="N36" s="109">
        <f>'Sch AL-TOU Cust Fcst'!$E35*'Non-Residential TSM UC Adj'!N36</f>
        <v>0</v>
      </c>
      <c r="O36" s="23">
        <f>'Sch AL-TOU Cust Fcst'!$E35*'Non-Residential TSM UC Adj'!O36</f>
        <v>0</v>
      </c>
      <c r="P36" s="23">
        <f>'Sch AL-TOU Cust Fcst'!$E35*'Non-Residential TSM UC Adj'!P36</f>
        <v>0</v>
      </c>
      <c r="Q36" s="41">
        <f>IF(SUM(N36:P36)=0,0,SUM(N36:P36)/'Sch AL-TOU Cust Fcst'!E35)</f>
        <v>0</v>
      </c>
      <c r="R36" s="109">
        <f t="shared" si="2"/>
        <v>0</v>
      </c>
      <c r="S36" s="23">
        <f t="shared" si="2"/>
        <v>0</v>
      </c>
      <c r="T36" s="23">
        <f t="shared" si="2"/>
        <v>0</v>
      </c>
      <c r="U36" s="41">
        <f>IF(SUM(R36:T36)=0,0,SUM(R36:T36)/'Sch AL-TOU Cust Fcst'!F35)</f>
        <v>0</v>
      </c>
      <c r="V36" s="33">
        <f>'Sch AL-TOU Cust Fcst'!$G35*'Non-Residential TSM UC Adj'!R36</f>
        <v>0</v>
      </c>
      <c r="W36" s="33">
        <f>'Sch AL-TOU Cust Fcst'!$G35*'Non-Residential TSM UC Adj'!S36</f>
        <v>0</v>
      </c>
      <c r="X36" s="33">
        <f>'Sch AL-TOU Cust Fcst'!$G35*'Non-Residential TSM UC Adj'!T36</f>
        <v>0</v>
      </c>
      <c r="Y36" s="41">
        <f>IF(SUM(V36:X36)=0,0,SUM(V36:X36)/'Sch AL-TOU Cust Fcst'!G35)</f>
        <v>0</v>
      </c>
      <c r="Z36" s="33">
        <f>'Sch AL-TOU Cust Fcst'!$H35*'Non-Residential TSM UC Adj'!R36</f>
        <v>0</v>
      </c>
      <c r="AA36" s="33">
        <f>'Sch AL-TOU Cust Fcst'!$H35*'Non-Residential TSM UC Adj'!W36</f>
        <v>0</v>
      </c>
      <c r="AB36" s="33">
        <f>'Sch AL-TOU Cust Fcst'!$H35*'Non-Residential TSM UC Adj'!X36</f>
        <v>0</v>
      </c>
      <c r="AC36" s="41">
        <f>IF(SUM(Z36:AB36)=0,0,SUM(Z36:AB36)/'Sch AL-TOU Cust Fcst'!H35)</f>
        <v>0</v>
      </c>
      <c r="AD36" s="23">
        <f t="shared" si="3"/>
        <v>0</v>
      </c>
      <c r="AE36" s="23">
        <f t="shared" si="4"/>
        <v>0</v>
      </c>
      <c r="AF36" s="23">
        <f t="shared" si="5"/>
        <v>0</v>
      </c>
      <c r="AG36" s="41">
        <f>IF(SUM(AD36:AF36)=0,0,SUM(AD36:AF36)/'Sch AL-TOU Cust Fcst'!I35)</f>
        <v>0</v>
      </c>
    </row>
    <row r="37" spans="1:33">
      <c r="A37" s="126" t="s">
        <v>27</v>
      </c>
      <c r="B37" s="109">
        <f>'Sch AL-TOU Cust Fcst'!$B36*'Non-Residential TSM UC Adj'!J37</f>
        <v>0</v>
      </c>
      <c r="C37" s="23">
        <f>'Sch AL-TOU Cust Fcst'!$B36*'Non-Residential TSM UC Adj'!K37</f>
        <v>0</v>
      </c>
      <c r="D37" s="23">
        <f>'Sch AL-TOU Cust Fcst'!$B36*'Non-Residential TSM UC Adj'!L37</f>
        <v>0</v>
      </c>
      <c r="E37" s="41">
        <f>IF(SUM(B37:D37)=0,0,SUM(B37:D37)/'Sch AL-TOU Cust Fcst'!B36)</f>
        <v>0</v>
      </c>
      <c r="F37" s="109">
        <f>'Sch AL-TOU Cust Fcst'!$C36*'Non-Residential TSM UC Adj'!J37</f>
        <v>0</v>
      </c>
      <c r="G37" s="23">
        <f>'Sch AL-TOU Cust Fcst'!$C36*'Non-Residential TSM UC Adj'!K37</f>
        <v>0</v>
      </c>
      <c r="H37" s="23">
        <f>'Sch AL-TOU Cust Fcst'!$C36*'Non-Residential TSM UC Adj'!L37</f>
        <v>0</v>
      </c>
      <c r="I37" s="41">
        <f>IF(SUM(F37:H37)=0,0,SUM(F37:H37)/'Sch AL-TOU Cust Fcst'!C36)</f>
        <v>0</v>
      </c>
      <c r="J37" s="109">
        <f>'Sch AL-TOU Cust Fcst'!$D36*'Non-Residential TSM UC Adj'!J37</f>
        <v>0</v>
      </c>
      <c r="K37" s="23">
        <f>'Sch AL-TOU Cust Fcst'!$D36*'Non-Residential TSM UC Adj'!K37</f>
        <v>0</v>
      </c>
      <c r="L37" s="23">
        <f>'Sch AL-TOU Cust Fcst'!$D36*'Non-Residential TSM UC Adj'!L37</f>
        <v>0</v>
      </c>
      <c r="M37" s="41">
        <f>IF(SUM(J37:L37)=0,0,SUM(J37:L37)/'Sch AL-TOU Cust Fcst'!D36)</f>
        <v>0</v>
      </c>
      <c r="N37" s="109">
        <f>'Sch AL-TOU Cust Fcst'!$E36*'Non-Residential TSM UC Adj'!N37</f>
        <v>0</v>
      </c>
      <c r="O37" s="23">
        <f>'Sch AL-TOU Cust Fcst'!$E36*'Non-Residential TSM UC Adj'!O37</f>
        <v>0</v>
      </c>
      <c r="P37" s="23">
        <f>'Sch AL-TOU Cust Fcst'!$E36*'Non-Residential TSM UC Adj'!P37</f>
        <v>0</v>
      </c>
      <c r="Q37" s="41">
        <f>IF(SUM(N37:P37)=0,0,SUM(N37:P37)/'Sch AL-TOU Cust Fcst'!E36)</f>
        <v>0</v>
      </c>
      <c r="R37" s="109">
        <f t="shared" si="2"/>
        <v>0</v>
      </c>
      <c r="S37" s="23">
        <f t="shared" si="2"/>
        <v>0</v>
      </c>
      <c r="T37" s="23">
        <f t="shared" si="2"/>
        <v>0</v>
      </c>
      <c r="U37" s="41">
        <f>IF(SUM(R37:T37)=0,0,SUM(R37:T37)/'Sch AL-TOU Cust Fcst'!F36)</f>
        <v>0</v>
      </c>
      <c r="V37" s="33">
        <f>'Sch AL-TOU Cust Fcst'!$G36*'Non-Residential TSM UC Adj'!R37</f>
        <v>0</v>
      </c>
      <c r="W37" s="33">
        <f>'Sch AL-TOU Cust Fcst'!$G36*'Non-Residential TSM UC Adj'!S37</f>
        <v>0</v>
      </c>
      <c r="X37" s="33">
        <f>'Sch AL-TOU Cust Fcst'!$G36*'Non-Residential TSM UC Adj'!T37</f>
        <v>0</v>
      </c>
      <c r="Y37" s="41">
        <f>IF(SUM(V37:X37)=0,0,SUM(V37:X37)/'Sch AL-TOU Cust Fcst'!G36)</f>
        <v>0</v>
      </c>
      <c r="Z37" s="33">
        <f>'Sch AL-TOU Cust Fcst'!$H36*'Non-Residential TSM UC Adj'!R37</f>
        <v>0</v>
      </c>
      <c r="AA37" s="33">
        <f>'Sch AL-TOU Cust Fcst'!$H36*'Non-Residential TSM UC Adj'!W37</f>
        <v>0</v>
      </c>
      <c r="AB37" s="33">
        <f>'Sch AL-TOU Cust Fcst'!$H36*'Non-Residential TSM UC Adj'!X37</f>
        <v>0</v>
      </c>
      <c r="AC37" s="41">
        <f>IF(SUM(Z37:AB37)=0,0,SUM(Z37:AB37)/'Sch AL-TOU Cust Fcst'!H36)</f>
        <v>0</v>
      </c>
      <c r="AD37" s="23">
        <f t="shared" si="3"/>
        <v>0</v>
      </c>
      <c r="AE37" s="23">
        <f t="shared" si="4"/>
        <v>0</v>
      </c>
      <c r="AF37" s="23">
        <f t="shared" si="5"/>
        <v>0</v>
      </c>
      <c r="AG37" s="41">
        <f>IF(SUM(AD37:AF37)=0,0,SUM(AD37:AF37)/'Sch AL-TOU Cust Fcst'!I36)</f>
        <v>0</v>
      </c>
    </row>
    <row r="38" spans="1:33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09"/>
      <c r="S38" s="23"/>
      <c r="T38" s="23"/>
      <c r="U38" s="41"/>
      <c r="V38" s="23"/>
      <c r="W38" s="23"/>
      <c r="X38" s="23"/>
      <c r="Y38" s="14"/>
      <c r="Z38" s="107"/>
      <c r="AA38" s="13"/>
      <c r="AB38" s="13"/>
      <c r="AC38" s="14"/>
      <c r="AD38" s="23"/>
      <c r="AE38" s="23"/>
      <c r="AF38" s="23"/>
      <c r="AG38" s="14"/>
    </row>
    <row r="39" spans="1:33" ht="13.5" thickBot="1">
      <c r="A39" s="181" t="s">
        <v>2</v>
      </c>
      <c r="B39" s="241">
        <f>IF(SUM(B$7:B$37)=0,0,SUM(B$7:B$37)/'Sch AL-TOU Cust Fcst'!$B38)</f>
        <v>3859.41952937215</v>
      </c>
      <c r="C39" s="242">
        <f>IF(SUM(C$7:C$37)=0,0,SUM(C$7:C$37)/'Sch AL-TOU Cust Fcst'!$B38)</f>
        <v>480.04976601313922</v>
      </c>
      <c r="D39" s="242">
        <f>IF(SUM(D$7:D$37)=0,0,SUM(D$7:D$37)/'Sch AL-TOU Cust Fcst'!$B38)</f>
        <v>231.00861885131383</v>
      </c>
      <c r="E39" s="243">
        <f>SUM(B39:D39)</f>
        <v>4570.4779142366033</v>
      </c>
      <c r="F39" s="241">
        <f>IF(SUM(F$7:F$37)=0,0,SUM(F$7:F$37)/'Sch AL-TOU Cust Fcst'!$C38)</f>
        <v>10866.362927742215</v>
      </c>
      <c r="G39" s="242">
        <f>IF(SUM(G$7:G$37)=0,0,SUM(G$7:G$37)/'Sch AL-TOU Cust Fcst'!$C38)</f>
        <v>1313.0786590173946</v>
      </c>
      <c r="H39" s="242">
        <f>IF(SUM(H$7:H$37)=0,0,SUM(H$7:H$37)/'Sch AL-TOU Cust Fcst'!$C38)</f>
        <v>366.80138475617633</v>
      </c>
      <c r="I39" s="243">
        <f>SUM(F39:H39)</f>
        <v>12546.242971515785</v>
      </c>
      <c r="J39" s="241">
        <f>IF(SUM(J$7:J$37)=0,0,SUM(J$7:J$37)/'Sch AL-TOU Cust Fcst'!$D38)</f>
        <v>12761.739401359873</v>
      </c>
      <c r="K39" s="242">
        <f>IF(SUM(K$7:K$37)=0,0,SUM(K$7:K$37)/'Sch AL-TOU Cust Fcst'!$D38)</f>
        <v>2769.2072558812833</v>
      </c>
      <c r="L39" s="242">
        <f>IF(SUM(L$7:L$37)=0,0,SUM(L$7:L$37)/'Sch AL-TOU Cust Fcst'!$D38)</f>
        <v>624.955336016459</v>
      </c>
      <c r="M39" s="243">
        <f>SUM(J39:L39)</f>
        <v>16155.901993257616</v>
      </c>
      <c r="N39" s="241">
        <f>IF(SUM(N$7:N$37)=0,0,SUM(N$7:N$37)/'Sch AL-TOU Cust Fcst'!$E38)</f>
        <v>13929.867295056874</v>
      </c>
      <c r="O39" s="242">
        <f>IF(SUM(O$7:O$37)=0,0,SUM(O$7:O$37)/'Sch AL-TOU Cust Fcst'!$E38)</f>
        <v>2720.942229675672</v>
      </c>
      <c r="P39" s="242">
        <f>IF(SUM(P$7:P$37)=0,0,SUM(P$7:P$37)/'Sch AL-TOU Cust Fcst'!$E38)</f>
        <v>785.03382488354043</v>
      </c>
      <c r="Q39" s="243">
        <f>SUM(N39:P39)</f>
        <v>17435.843349616087</v>
      </c>
      <c r="R39" s="241">
        <f>IF(SUM(R$7:R$37)=0,0,SUM(R$7:R$37)/'Sch AL-TOU Cust Fcst'!$F38)</f>
        <v>12431.456796247723</v>
      </c>
      <c r="S39" s="242">
        <f>IF(SUM(S$7:S$37)=0,0,SUM(S$7:S$37)/'Sch AL-TOU Cust Fcst'!$F38)</f>
        <v>2537.511718448819</v>
      </c>
      <c r="T39" s="242">
        <f>IF(SUM(T$7:T$37)=0,0,SUM(T$7:T$37)/'Sch AL-TOU Cust Fcst'!$F38)</f>
        <v>646.50518165205972</v>
      </c>
      <c r="U39" s="243">
        <f>SUM(R39:T39)</f>
        <v>15615.473696348601</v>
      </c>
      <c r="V39" s="241">
        <f>IF(SUM(V$7:V$37)=0,0,SUM(V$7:V$37)/'Sch AL-TOU Cust Fcst'!$G38)</f>
        <v>0</v>
      </c>
      <c r="W39" s="242">
        <f>IF(SUM(W$7:W$37)=0,0,SUM(W$7:W$37)/'Sch AL-TOU Cust Fcst'!$G38)</f>
        <v>3129.9273129422199</v>
      </c>
      <c r="X39" s="242">
        <f>IF(SUM(X$7:X$37)=0,0,SUM(X$7:X$37)/'Sch AL-TOU Cust Fcst'!$G38)</f>
        <v>950.0253709076319</v>
      </c>
      <c r="Y39" s="243">
        <f>SUM(V39:X39)</f>
        <v>4079.9526838498518</v>
      </c>
      <c r="Z39" s="241">
        <f>IF(SUM(Z$7:Z$37)=0,0,SUM(Z$7:Z$37)/'Sch AL-TOU Cust Fcst'!$H38)</f>
        <v>0</v>
      </c>
      <c r="AA39" s="242">
        <f>IF(SUM(AA$7:AA$37)=0,0,SUM(AA$7:AA$37)/'Sch AL-TOU Cust Fcst'!$H38)</f>
        <v>0</v>
      </c>
      <c r="AB39" s="242">
        <f>IF(SUM(AB$7:AB$37)=0,0,SUM(AB$7:AB$37)/'Sch AL-TOU Cust Fcst'!$H38)</f>
        <v>0</v>
      </c>
      <c r="AC39" s="243">
        <f>SUM(Z39:AB39)</f>
        <v>0</v>
      </c>
      <c r="AD39" s="241">
        <f>IF(SUM(AD$7:AD$37)=0,0,SUM(AD$7:AD$37)/'Sch AL-TOU Cust Fcst'!$I38)</f>
        <v>11772.54565863742</v>
      </c>
      <c r="AE39" s="242">
        <f>IF(SUM(AE$7:AE$37)=0,0,SUM(AE$7:AE$37)/'Sch AL-TOU Cust Fcst'!$I38)</f>
        <v>2568.9118382982929</v>
      </c>
      <c r="AF39" s="242">
        <f>IF(SUM(AF$7:AF$37)=0,0,SUM(AF$7:AF$37)/'Sch AL-TOU Cust Fcst'!$I38)</f>
        <v>662.59282419210808</v>
      </c>
      <c r="AG39" s="243">
        <f>SUM(AD39:AF39)</f>
        <v>15004.050321127821</v>
      </c>
    </row>
    <row r="40" spans="1:33">
      <c r="A40" s="21" t="s">
        <v>149</v>
      </c>
      <c r="B40" s="109">
        <f>IF(SUM(B$7:B$20)=0,0,SUM(B$7:B$20)/'Sch AL-TOU Cust Fcst'!$B39)</f>
        <v>3859.41952937215</v>
      </c>
      <c r="C40" s="23">
        <f>IF(SUM(C$7:C$20)=0,0,SUM(C$7:C$20)/'Sch AL-TOU Cust Fcst'!$B39)</f>
        <v>480.04976601313922</v>
      </c>
      <c r="D40" s="23">
        <f>IF(SUM(D$7:D$20)=0,0,SUM(D$7:D$20)/'Sch AL-TOU Cust Fcst'!$B39)</f>
        <v>231.00861885131383</v>
      </c>
      <c r="E40" s="41">
        <f>SUM(B40:D40)</f>
        <v>4570.4779142366033</v>
      </c>
      <c r="F40" s="109">
        <f>IF(SUM(F$7:F$20)=0,0,SUM(F$7:F$20)/'Sch AL-TOU Cust Fcst'!$C39)</f>
        <v>10866.362927742215</v>
      </c>
      <c r="G40" s="23">
        <f>IF(SUM(G$7:G$20)=0,0,SUM(G$7:G$20)/'Sch AL-TOU Cust Fcst'!$C39)</f>
        <v>1313.0786590173946</v>
      </c>
      <c r="H40" s="23">
        <f>IF(SUM(H$7:H$20)=0,0,SUM(H$7:H$20)/'Sch AL-TOU Cust Fcst'!$C39)</f>
        <v>366.80138475617633</v>
      </c>
      <c r="I40" s="41">
        <f>SUM(F40:H40)</f>
        <v>12546.242971515785</v>
      </c>
      <c r="J40" s="109">
        <f>IF(SUM(J$7:J$20)=0,0,SUM(J$7:J$20)/'Sch AL-TOU Cust Fcst'!$D39)</f>
        <v>12742.973687903286</v>
      </c>
      <c r="K40" s="23">
        <f>IF(SUM(K$7:K$20)=0,0,SUM(K$7:K$20)/'Sch AL-TOU Cust Fcst'!$D39)</f>
        <v>2737.6879783197614</v>
      </c>
      <c r="L40" s="23">
        <f>IF(SUM(L$7:L$20)=0,0,SUM(L$7:L$20)/'Sch AL-TOU Cust Fcst'!$D39)</f>
        <v>623.87647071898334</v>
      </c>
      <c r="M40" s="41">
        <f>SUM(J40:L40)</f>
        <v>16104.538136942032</v>
      </c>
      <c r="N40" s="109">
        <f>IF(SUM(N$7:N$20)=0,0,SUM(N$7:N$20)/'Sch AL-TOU Cust Fcst'!$E39)</f>
        <v>12870.714657403234</v>
      </c>
      <c r="O40" s="23">
        <f>IF(SUM(O$7:O$20)=0,0,SUM(O$7:O$20)/'Sch AL-TOU Cust Fcst'!$E39)</f>
        <v>2430.0404588159026</v>
      </c>
      <c r="P40" s="23">
        <f>IF(SUM(P$7:P$20)=0,0,SUM(P$7:P$20)/'Sch AL-TOU Cust Fcst'!$E39)</f>
        <v>779.62926702631091</v>
      </c>
      <c r="Q40" s="41">
        <f>SUM(N40:P40)</f>
        <v>16080.384383245448</v>
      </c>
      <c r="R40" s="109">
        <f>IF(SUM(R$7:R$20)=0,0,SUM(R$7:R$20)/'Sch AL-TOU Cust Fcst'!$F39)</f>
        <v>12009.832192648977</v>
      </c>
      <c r="S40" s="23">
        <f>IF(SUM(S$7:S$20)=0,0,SUM(S$7:S$20)/'Sch AL-TOU Cust Fcst'!$F39)</f>
        <v>2413.0682526689016</v>
      </c>
      <c r="T40" s="23">
        <f>IF(SUM(T$7:T$20)=0,0,SUM(T$7:T$20)/'Sch AL-TOU Cust Fcst'!$F39)</f>
        <v>640.35649843357612</v>
      </c>
      <c r="U40" s="41">
        <f>SUM(R40:T40)</f>
        <v>15063.256943751454</v>
      </c>
      <c r="V40" s="109">
        <f>IF(SUM(V$7:V$20)=0,0,SUM(V$7:V$20)/'Sch AL-TOU Cust Fcst'!$G39)</f>
        <v>0</v>
      </c>
      <c r="W40" s="23">
        <f>IF(SUM(W$7:W$20)=0,0,SUM(W$7:W$20)/'Sch AL-TOU Cust Fcst'!$G39)</f>
        <v>3129.9273129422195</v>
      </c>
      <c r="X40" s="23">
        <f>IF(SUM(X$7:X$20)=0,0,SUM(X$7:X$20)/'Sch AL-TOU Cust Fcst'!$G39)</f>
        <v>948.09205878762964</v>
      </c>
      <c r="Y40" s="41">
        <f>SUM(V40:X40)</f>
        <v>4078.0193717298489</v>
      </c>
      <c r="Z40" s="109">
        <f>IF(SUM(Z$7:Z$20)=0,0,SUM(Z$7:Z$20)/'Sch AL-TOU Cust Fcst'!$H39)</f>
        <v>0</v>
      </c>
      <c r="AA40" s="23">
        <f>IF(SUM(AA$7:AA$20)=0,0,SUM(AA$7:AA$20)/'Sch AL-TOU Cust Fcst'!$H39)</f>
        <v>0</v>
      </c>
      <c r="AB40" s="23">
        <f>IF(SUM(AB$7:AB$20)=0,0,SUM(AB$7:AB$20)/'Sch AL-TOU Cust Fcst'!$H39)</f>
        <v>0</v>
      </c>
      <c r="AC40" s="41">
        <f>SUM(Z40:AB40)</f>
        <v>0</v>
      </c>
      <c r="AD40" s="109">
        <f>IF(SUM(AD$7:AD$20)=0,0,SUM(AD$7:AD$20)/'Sch AL-TOU Cust Fcst'!$I39)</f>
        <v>11494.704586346632</v>
      </c>
      <c r="AE40" s="23">
        <f>IF(SUM(AE$7:AE$20)=0,0,SUM(AE$7:AE$20)/'Sch AL-TOU Cust Fcst'!$I39)</f>
        <v>2443.8158839306248</v>
      </c>
      <c r="AF40" s="23">
        <f>IF(SUM(AF$7:AF$20)=0,0,SUM(AF$7:AF$20)/'Sch AL-TOU Cust Fcst'!$I39)</f>
        <v>653.55594036052707</v>
      </c>
      <c r="AG40" s="41">
        <f>SUM(AD40:AF40)</f>
        <v>14592.076410637785</v>
      </c>
    </row>
    <row r="41" spans="1:33">
      <c r="A41" s="124" t="s">
        <v>124</v>
      </c>
      <c r="B41" s="109">
        <f>IF(SUM(B$21:B$34)=0,0,SUM(B$21:B$34)/'Sch AL-TOU Cust Fcst'!$B40)</f>
        <v>0</v>
      </c>
      <c r="C41" s="23">
        <f>IF(SUM(C$21:C$34)=0,0,SUM(C$21:C$34)/'Sch AL-TOU Cust Fcst'!$B40)</f>
        <v>0</v>
      </c>
      <c r="D41" s="23">
        <f>IF(SUM(D$21:D$34)=0,0,SUM(D$21:D$34)/'Sch AL-TOU Cust Fcst'!$B40)</f>
        <v>0</v>
      </c>
      <c r="E41" s="41">
        <f>SUM(B41:D41)</f>
        <v>0</v>
      </c>
      <c r="F41" s="109">
        <f>IF(SUM(F$21:F$34)=0,0,SUM(F$21:F$34)/'Sch AL-TOU Cust Fcst'!$C40)</f>
        <v>0</v>
      </c>
      <c r="G41" s="23">
        <f>IF(SUM(G$21:G$34)=0,0,SUM(G$21:G$34)/'Sch AL-TOU Cust Fcst'!$C40)</f>
        <v>0</v>
      </c>
      <c r="H41" s="23">
        <f>IF(SUM(H$21:H$34)=0,0,SUM(H$21:H$34)/'Sch AL-TOU Cust Fcst'!$C40)</f>
        <v>0</v>
      </c>
      <c r="I41" s="41">
        <f>SUM(F41:H41)</f>
        <v>0</v>
      </c>
      <c r="J41" s="109">
        <f>IF(SUM(J$21:J$34)=0,0,SUM(J$21:J$34)/'Sch AL-TOU Cust Fcst'!$D40)</f>
        <v>16768.219224341061</v>
      </c>
      <c r="K41" s="23">
        <f>IF(SUM(K$21:K$34)=0,0,SUM(K$21:K$34)/'Sch AL-TOU Cust Fcst'!$D40)</f>
        <v>9498.5730152662527</v>
      </c>
      <c r="L41" s="23">
        <f>IF(SUM(L$21:L$34)=0,0,SUM(L$21:L$34)/'Sch AL-TOU Cust Fcst'!$D40)</f>
        <v>855.2930770275243</v>
      </c>
      <c r="M41" s="41">
        <f>SUM(J41:L41)</f>
        <v>27122.085316634835</v>
      </c>
      <c r="N41" s="109">
        <f>IF(SUM(N$21:N$34)=0,0,SUM(N$21:N$34)/'Sch AL-TOU Cust Fcst'!$E40)</f>
        <v>27698.851584554213</v>
      </c>
      <c r="O41" s="23">
        <f>IF(SUM(O$21:O$34)=0,0,SUM(O$21:O$34)/'Sch AL-TOU Cust Fcst'!$E40)</f>
        <v>6502.6652508526768</v>
      </c>
      <c r="P41" s="23">
        <f>IF(SUM(P$21:P$34)=0,0,SUM(P$21:P$34)/'Sch AL-TOU Cust Fcst'!$E40)</f>
        <v>855.2930770275243</v>
      </c>
      <c r="Q41" s="41">
        <f>SUM(N41:P41)</f>
        <v>35056.809912434415</v>
      </c>
      <c r="R41" s="109">
        <f>IF(SUM(R$21:R$34)=0,0,SUM(R$21:R$34)/'Sch AL-TOU Cust Fcst'!$F40)</f>
        <v>26748.361814100892</v>
      </c>
      <c r="S41" s="23">
        <f>IF(SUM(S$21:S$34)=0,0,SUM(S$21:S$34)/'Sch AL-TOU Cust Fcst'!$F40)</f>
        <v>6763.1789694973359</v>
      </c>
      <c r="T41" s="23">
        <f>IF(SUM(T$21:T$34)=0,0,SUM(T$21:T$34)/'Sch AL-TOU Cust Fcst'!$F40)</f>
        <v>855.29307702752419</v>
      </c>
      <c r="U41" s="41">
        <f>SUM(R41:T41)</f>
        <v>34366.833860625753</v>
      </c>
      <c r="V41" s="109">
        <f>IF(SUM(V$21:V$34)=0,0,SUM(V$21:V$34)/'Sch AL-TOU Cust Fcst'!$G40)</f>
        <v>0</v>
      </c>
      <c r="W41" s="23">
        <f>IF(SUM(W$21:W$34)=0,0,SUM(W$21:W$34)/'Sch AL-TOU Cust Fcst'!$G40)</f>
        <v>3129.927312942219</v>
      </c>
      <c r="X41" s="23">
        <f>IF(SUM(X$21:X$34)=0,0,SUM(X$21:X$34)/'Sch AL-TOU Cust Fcst'!$G40)</f>
        <v>956.79196332763945</v>
      </c>
      <c r="Y41" s="41">
        <f>SUM(V41:X41)</f>
        <v>4086.7192762698587</v>
      </c>
      <c r="Z41" s="109">
        <f>IF(SUM(Z$21:Z$34)=0,0,SUM(Z$21:Z$34)/'Sch AL-TOU Cust Fcst'!$H40)</f>
        <v>0</v>
      </c>
      <c r="AA41" s="23">
        <f>IF(SUM(AA$21:AA$34)=0,0,SUM(AA$21:AA$34)/'Sch AL-TOU Cust Fcst'!$H40)</f>
        <v>0</v>
      </c>
      <c r="AB41" s="23">
        <f>IF(SUM(AB$21:AB$34)=0,0,SUM(AB$21:AB$34)/'Sch AL-TOU Cust Fcst'!$H40)</f>
        <v>0</v>
      </c>
      <c r="AC41" s="41">
        <f>SUM(Z41:AB41)</f>
        <v>0</v>
      </c>
      <c r="AD41" s="109">
        <f>IF(SUM(AD$21:AD$34)=0,0,SUM(AD$21:AD$34)/'Sch AL-TOU Cust Fcst'!$I40)</f>
        <v>18642.797628009714</v>
      </c>
      <c r="AE41" s="23">
        <f>IF(SUM(AE$21:AE$34)=0,0,SUM(AE$21:AE$34)/'Sch AL-TOU Cust Fcst'!$I40)</f>
        <v>5662.1936190260894</v>
      </c>
      <c r="AF41" s="23">
        <f>IF(SUM(AF$21:AF$34)=0,0,SUM(AF$21:AF$34)/'Sch AL-TOU Cust Fcst'!$I40)</f>
        <v>886.05031530028657</v>
      </c>
      <c r="AG41" s="41">
        <f>SUM(AD41:AF41)</f>
        <v>25191.04156233609</v>
      </c>
    </row>
    <row r="42" spans="1:33" ht="13.5" thickBot="1">
      <c r="A42" s="179" t="s">
        <v>88</v>
      </c>
      <c r="B42" s="180">
        <f>IF(SUM(B$35:B$37)=0,0,SUM(B$35:B$37)/'Sch AL-TOU Cust Fcst'!$B41)</f>
        <v>0</v>
      </c>
      <c r="C42" s="176">
        <f>IF(SUM(C$35:C$37)=0,0,SUM(C$35:C$37)/'Sch AL-TOU Cust Fcst'!$B41)</f>
        <v>0</v>
      </c>
      <c r="D42" s="176">
        <f>IF(SUM(D$35:D$37)=0,0,SUM(D$35:D$37)/'Sch AL-TOU Cust Fcst'!$B41)</f>
        <v>0</v>
      </c>
      <c r="E42" s="185">
        <f>SUM(B42:D42)</f>
        <v>0</v>
      </c>
      <c r="F42" s="180">
        <f>IF(SUM(F$35:F$37)=0,0,SUM(F$35:F$37)/'Sch AL-TOU Cust Fcst'!$C41)</f>
        <v>0</v>
      </c>
      <c r="G42" s="176">
        <f>IF(SUM(G$35:G$37)=0,0,SUM(G$35:G$37)/'Sch AL-TOU Cust Fcst'!$C41)</f>
        <v>0</v>
      </c>
      <c r="H42" s="176">
        <f>IF(SUM(H$35:H$37)=0,0,SUM(H$35:H$37)/'Sch AL-TOU Cust Fcst'!$C41)</f>
        <v>0</v>
      </c>
      <c r="I42" s="185">
        <f>SUM(F42:H42)</f>
        <v>0</v>
      </c>
      <c r="J42" s="180">
        <f>IF(SUM(J$35:J$37)=0,0,SUM(J$35:J$37)/'Sch AL-TOU Cust Fcst'!$D41)</f>
        <v>0</v>
      </c>
      <c r="K42" s="176">
        <f>IF(SUM(K$35:K$37)=0,0,SUM(K$35:K$37)/'Sch AL-TOU Cust Fcst'!$D41)</f>
        <v>0</v>
      </c>
      <c r="L42" s="176">
        <f>IF(SUM(L$35:L$37)=0,0,SUM(L$35:L$37)/'Sch AL-TOU Cust Fcst'!$D41)</f>
        <v>0</v>
      </c>
      <c r="M42" s="185">
        <f>SUM(J42:L42)</f>
        <v>0</v>
      </c>
      <c r="N42" s="180">
        <f>IF(SUM(N$35:N$37)=0,0,SUM(N$35:N$37)/'Sch AL-TOU Cust Fcst'!$E41)</f>
        <v>0</v>
      </c>
      <c r="O42" s="176">
        <f>IF(SUM(O$35:O$37)=0,0,SUM(O$35:O$37)/'Sch AL-TOU Cust Fcst'!$E41)</f>
        <v>0</v>
      </c>
      <c r="P42" s="176">
        <f>IF(SUM(P$35:P$37)=0,0,SUM(P$35:P$37)/'Sch AL-TOU Cust Fcst'!$E41)</f>
        <v>0</v>
      </c>
      <c r="Q42" s="185">
        <f>SUM(N42:P42)</f>
        <v>0</v>
      </c>
      <c r="R42" s="180">
        <f>IF(SUM(R$35:R$37)=0,0,SUM(R$35:R$37)/'Sch AL-TOU Cust Fcst'!$F41)</f>
        <v>0</v>
      </c>
      <c r="S42" s="176">
        <f>IF(SUM(S$35:S$37)=0,0,SUM(S$35:S$37)/'Sch AL-TOU Cust Fcst'!$F41)</f>
        <v>0</v>
      </c>
      <c r="T42" s="176">
        <f>IF(SUM(T$35:T$37)=0,0,SUM(T$35:T$37)/'Sch AL-TOU Cust Fcst'!$F41)</f>
        <v>0</v>
      </c>
      <c r="U42" s="185">
        <f>SUM(R42:T42)</f>
        <v>0</v>
      </c>
      <c r="V42" s="180">
        <f>IF(SUM(V$35:V$37)=0,0,SUM(V$35:V$37)/'Sch AL-TOU Cust Fcst'!$G41)</f>
        <v>0</v>
      </c>
      <c r="W42" s="176">
        <f>IF(SUM(W$35:W$37)=0,0,SUM(W$35:W$37)/'Sch AL-TOU Cust Fcst'!$G41)</f>
        <v>0</v>
      </c>
      <c r="X42" s="176">
        <f>IF(SUM(X$35:X$37)=0,0,SUM(X$35:X$37)/'Sch AL-TOU Cust Fcst'!$G41)</f>
        <v>0</v>
      </c>
      <c r="Y42" s="185">
        <f>SUM(V42:X42)</f>
        <v>0</v>
      </c>
      <c r="Z42" s="180">
        <f>IF(SUM(Z$35:Z$37)=0,0,SUM(Z$35:Z$37)/'Sch AL-TOU Cust Fcst'!$H41)</f>
        <v>0</v>
      </c>
      <c r="AA42" s="176">
        <f>IF(SUM(AA$35:AA$37)=0,0,SUM(AA$35:AA$37)/'Sch AL-TOU Cust Fcst'!$H41)</f>
        <v>0</v>
      </c>
      <c r="AB42" s="176">
        <f>IF(SUM(AB$35:AB$37)=0,0,SUM(AB$35:AB$37)/'Sch AL-TOU Cust Fcst'!$H41)</f>
        <v>0</v>
      </c>
      <c r="AC42" s="185">
        <f>SUM(Z42:AB42)</f>
        <v>0</v>
      </c>
      <c r="AD42" s="180">
        <f>IF(SUM(AD$35:AD$37)=0,0,SUM(AD$35:AD$37)/'Sch AL-TOU Cust Fcst'!$I41)</f>
        <v>0</v>
      </c>
      <c r="AE42" s="176">
        <f>IF(SUM(AE$35:AE$37)=0,0,SUM(AE$35:AE$37)/'Sch AL-TOU Cust Fcst'!$I41)</f>
        <v>0</v>
      </c>
      <c r="AF42" s="176">
        <f>IF(SUM(AF$35:AF$37)=0,0,SUM(AF$35:AF$37)/'Sch AL-TOU Cust Fcst'!$I41)</f>
        <v>0</v>
      </c>
      <c r="AG42" s="185">
        <f>SUM(AD42:AF42)</f>
        <v>0</v>
      </c>
    </row>
    <row r="44" spans="1:33">
      <c r="A44" s="264" t="s">
        <v>91</v>
      </c>
      <c r="B44" s="18"/>
      <c r="C44" s="18"/>
      <c r="D44" s="18"/>
      <c r="E44" s="298">
        <f>IF(SUM(B7:D37)=0,0,SUM(B7:D37)/'Sch AL-TOU Cust Fcst'!B38)-E39</f>
        <v>0</v>
      </c>
      <c r="F44" s="18"/>
      <c r="G44" s="18"/>
      <c r="H44" s="18"/>
      <c r="I44" s="298">
        <f>IF(SUM(F7:H37)=0,0,SUM(F7:H37)/'Sch AL-TOU Cust Fcst'!C38)-I39</f>
        <v>0</v>
      </c>
      <c r="J44" s="18"/>
      <c r="K44" s="18"/>
      <c r="L44" s="18"/>
      <c r="M44" s="298">
        <f>IF(SUM(J7:L37)=0,0,SUM(J7:L37)/'Sch AL-TOU Cust Fcst'!D38)-M39</f>
        <v>0</v>
      </c>
      <c r="N44" s="18"/>
      <c r="O44" s="18"/>
      <c r="P44" s="18"/>
      <c r="Q44" s="298">
        <f>IF(SUM(N7:P37)=0,0,SUM(N7:P37)/'Sch AL-TOU Cust Fcst'!E38)-Q39</f>
        <v>0</v>
      </c>
      <c r="R44" s="18"/>
      <c r="S44" s="18"/>
      <c r="T44" s="18"/>
      <c r="U44" s="298">
        <f>IF(SUM(R7:T37)=0,0,SUM(R7:T37)/'Sch AL-TOU Cust Fcst'!F38)-U39</f>
        <v>0</v>
      </c>
      <c r="V44" s="18"/>
      <c r="W44" s="18"/>
      <c r="X44" s="18"/>
      <c r="Y44" s="298">
        <f>IF(SUM(V7:X37)=0,0,SUM(V7:X37)/'Sch AL-TOU Cust Fcst'!G38)-Y39</f>
        <v>0</v>
      </c>
      <c r="Z44" s="18"/>
      <c r="AA44" s="18"/>
      <c r="AB44" s="18"/>
      <c r="AC44" s="298">
        <f>IF(SUM(Z7:AB37)=0,0,SUM(Z7:AB37)/'Sch AL-TOU Cust Fcst'!H38)-AC39</f>
        <v>0</v>
      </c>
      <c r="AD44" s="18"/>
      <c r="AE44" s="18"/>
      <c r="AF44" s="18"/>
      <c r="AG44" s="298">
        <f>IF(SUM(AD7:AF37)=0,0,SUM(AD7:AF37)/'Sch AL-TOU Cust Fcst'!I38)-AG39</f>
        <v>0</v>
      </c>
    </row>
    <row r="45" spans="1:33">
      <c r="E45" s="298">
        <f>IF(SUM(B7:D20)=0,0,SUM(B7:D20)/'Sch AL-TOU Cust Fcst'!B39)-E40</f>
        <v>0</v>
      </c>
      <c r="I45" s="298">
        <f>IF(SUM(F7:H20)=0,0,SUM(F7:H20)/'Sch AL-TOU Cust Fcst'!C39)-I40</f>
        <v>0</v>
      </c>
      <c r="M45" s="298">
        <f>IF(SUM(J7:L20)=0,0,SUM(J7:L20)/'Sch AL-TOU Cust Fcst'!D39)-M40</f>
        <v>0</v>
      </c>
      <c r="Q45" s="298">
        <f>IF(SUM(N7:P20)=0,0,SUM(N7:P20)/'Sch AL-TOU Cust Fcst'!E39)-Q40</f>
        <v>0</v>
      </c>
      <c r="U45" s="298">
        <f>IF(SUM(R7:T20)=0,0,SUM(R7:T20)/'Sch AL-TOU Cust Fcst'!F39)-U40</f>
        <v>0</v>
      </c>
      <c r="Y45" s="298">
        <f>IF(SUM(V7:X20)=0,0,SUM(V7:X20)/'Sch AL-TOU Cust Fcst'!G39)-Y40</f>
        <v>0</v>
      </c>
      <c r="AC45" s="298">
        <f>IF(SUM(Z7:AB20)=0,0,SUM(Z7:AB20)/'Sch AL-TOU Cust Fcst'!H39)-AC40</f>
        <v>0</v>
      </c>
      <c r="AG45" s="298">
        <f>IF(SUM(AD7:AF20)=0,0,SUM(AD7:AF20)/'Sch AL-TOU Cust Fcst'!I39)-AG40</f>
        <v>0</v>
      </c>
    </row>
    <row r="46" spans="1:33">
      <c r="E46" s="298">
        <f>IF(SUM(B21:D34)=0,0,SUM(B21:D34)/'Sch AL-TOU Cust Fcst'!B40)-E41</f>
        <v>0</v>
      </c>
      <c r="F46" s="304"/>
      <c r="G46" s="304"/>
      <c r="H46" s="304"/>
      <c r="I46" s="298">
        <f>IF(SUM(F21:H34)=0,0,SUM(F21:H34)/'Sch AL-TOU Cust Fcst'!C40)-I41</f>
        <v>0</v>
      </c>
      <c r="M46" s="298">
        <f>IF(SUM(J21:L34)=0,0,SUM(J21:L34)/'Sch AL-TOU Cust Fcst'!D40)-M41</f>
        <v>0</v>
      </c>
      <c r="N46" s="304"/>
      <c r="O46" s="304"/>
      <c r="P46" s="304"/>
      <c r="Q46" s="298">
        <f>IF(SUM(N21:P34)=0,0,SUM(N21:P34)/'Sch AL-TOU Cust Fcst'!E40)-Q41</f>
        <v>0</v>
      </c>
      <c r="R46" s="304"/>
      <c r="S46" s="304"/>
      <c r="T46" s="304"/>
      <c r="U46" s="298">
        <f>IF(SUM(R21:T34)=0,0,SUM(R21:T34)/'Sch AL-TOU Cust Fcst'!F40)-U41</f>
        <v>0</v>
      </c>
      <c r="V46" s="304"/>
      <c r="W46" s="304"/>
      <c r="X46" s="304"/>
      <c r="Y46" s="298">
        <f>IF(SUM(V21:X34)=0,0,SUM(V21:X34)/'Sch AL-TOU Cust Fcst'!G40)-Y41</f>
        <v>0</v>
      </c>
      <c r="Z46" s="304"/>
      <c r="AA46" s="304"/>
      <c r="AB46" s="304"/>
      <c r="AC46" s="298">
        <f>IF(SUM(Z21:AB34)=0,0,SUM(Z21:AB34)/'Sch AL-TOU Cust Fcst'!H40)-AC41</f>
        <v>0</v>
      </c>
      <c r="AD46" s="304"/>
      <c r="AE46" s="304"/>
      <c r="AF46" s="304"/>
      <c r="AG46" s="298">
        <f>IF(SUM(AD21:AF34)=0,0,SUM(AD21:AF34)/'Sch AL-TOU Cust Fcst'!I40)-AG41</f>
        <v>0</v>
      </c>
    </row>
    <row r="47" spans="1:33">
      <c r="A47" s="19"/>
      <c r="E47" s="298">
        <f>IF(SUM(B35:D37)=0,0,SUM(B35:D37)/'Sch AL-TOU Cust Fcst'!B41)-E42</f>
        <v>0</v>
      </c>
      <c r="F47" s="304"/>
      <c r="G47" s="304"/>
      <c r="H47" s="304"/>
      <c r="I47" s="298">
        <f>IF(SUM(F35:H37)=0,0,SUM(F35:H37)/'Sch AL-TOU Cust Fcst'!F41)-I42</f>
        <v>0</v>
      </c>
      <c r="M47" s="298">
        <f>IF(SUM(J35:L37)=0,0,SUM(J35:L37)/'Sch AL-TOU Cust Fcst'!D41)-M42</f>
        <v>0</v>
      </c>
      <c r="N47" s="304"/>
      <c r="O47" s="304"/>
      <c r="P47" s="304"/>
      <c r="Q47" s="298">
        <f>IF(SUM(N35:P37)=0,0,SUM(N35:P37)/'Sch AL-TOU Cust Fcst'!E41)-Q42</f>
        <v>0</v>
      </c>
      <c r="R47" s="304"/>
      <c r="S47" s="304"/>
      <c r="T47" s="304"/>
      <c r="U47" s="298">
        <f>IF(SUM(R35:T37)=0,0,SUM(R35:T37)/'Sch AL-TOU Cust Fcst'!F41)-U42</f>
        <v>0</v>
      </c>
      <c r="V47" s="304"/>
      <c r="W47" s="304"/>
      <c r="X47" s="304"/>
      <c r="Y47" s="298">
        <f>IF(SUM(V35:X37)=0,0,SUM(V35:X37)/'Sch AL-TOU Cust Fcst'!G41)-Y42</f>
        <v>0</v>
      </c>
      <c r="Z47" s="304"/>
      <c r="AA47" s="304"/>
      <c r="AB47" s="304"/>
      <c r="AC47" s="298">
        <f>IF(SUM(Z35:AB37)=0,0,SUM(Z35:AB37)/'Sch AL-TOU Cust Fcst'!H41)-AC42</f>
        <v>0</v>
      </c>
      <c r="AD47" s="304"/>
      <c r="AE47" s="304"/>
      <c r="AF47" s="304"/>
      <c r="AG47" s="298">
        <f>IF(SUM(AD35:AF37)=0,0,SUM(AD35:AF37)/'Sch AL-TOU Cust Fcst'!I41)-AG42</f>
        <v>0</v>
      </c>
    </row>
    <row r="59" spans="1:1">
      <c r="A59" s="19"/>
    </row>
  </sheetData>
  <mergeCells count="13">
    <mergeCell ref="AD3:AG3"/>
    <mergeCell ref="Z2:AC2"/>
    <mergeCell ref="Z3:AC3"/>
    <mergeCell ref="A1:Y1"/>
    <mergeCell ref="B2:U2"/>
    <mergeCell ref="V2:Y2"/>
    <mergeCell ref="AD2:AG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  <colBreaks count="2" manualBreakCount="2">
    <brk id="13" max="41" man="1"/>
    <brk id="21" max="43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41">
    <tabColor rgb="FFFFC000"/>
  </sheetPr>
  <dimension ref="A1:Q56"/>
  <sheetViews>
    <sheetView topLeftCell="B7" zoomScaleNormal="100" workbookViewId="0">
      <selection activeCell="J35" sqref="J35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8.85546875" style="12" bestFit="1" customWidth="1"/>
    <col min="5" max="5" width="14.85546875" style="12" bestFit="1" customWidth="1"/>
    <col min="6" max="6" width="13.7109375" style="12" bestFit="1" customWidth="1"/>
    <col min="7" max="7" width="17.140625" style="12" bestFit="1" customWidth="1"/>
    <col min="8" max="8" width="14.85546875" style="12" bestFit="1" customWidth="1"/>
    <col min="9" max="9" width="14" style="12" bestFit="1" customWidth="1"/>
    <col min="10" max="10" width="10.28515625" style="12" bestFit="1" customWidth="1"/>
    <col min="11" max="11" width="17" style="12" bestFit="1" customWidth="1"/>
    <col min="12" max="12" width="11.28515625" style="12" bestFit="1" customWidth="1"/>
    <col min="13" max="13" width="11.140625" style="12" bestFit="1" customWidth="1"/>
    <col min="14" max="14" width="10.28515625" bestFit="1" customWidth="1"/>
    <col min="15" max="15" width="17" bestFit="1" customWidth="1"/>
    <col min="16" max="17" width="10.28515625" bestFit="1" customWidth="1"/>
  </cols>
  <sheetData>
    <row r="1" spans="1:17" ht="18.75" thickBot="1">
      <c r="A1" s="741" t="s">
        <v>162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  <c r="N1" s="760"/>
      <c r="O1" s="760"/>
      <c r="P1" s="760"/>
      <c r="Q1" s="760"/>
    </row>
    <row r="2" spans="1:17" ht="13.5" thickBot="1">
      <c r="A2" s="103"/>
      <c r="B2" s="751" t="s">
        <v>0</v>
      </c>
      <c r="C2" s="745"/>
      <c r="D2" s="745"/>
      <c r="E2" s="746"/>
      <c r="F2" s="742" t="s">
        <v>1</v>
      </c>
      <c r="G2" s="743"/>
      <c r="H2" s="743"/>
      <c r="I2" s="744"/>
      <c r="J2" s="742" t="s">
        <v>87</v>
      </c>
      <c r="K2" s="743"/>
      <c r="L2" s="743"/>
      <c r="M2" s="744"/>
      <c r="N2" s="742" t="s">
        <v>207</v>
      </c>
      <c r="O2" s="743"/>
      <c r="P2" s="743"/>
      <c r="Q2" s="744"/>
    </row>
    <row r="3" spans="1:17" ht="13.5" thickBot="1">
      <c r="A3" s="77" t="s">
        <v>47</v>
      </c>
      <c r="B3" s="302" t="s">
        <v>152</v>
      </c>
      <c r="C3" s="303" t="s">
        <v>124</v>
      </c>
      <c r="D3" s="303" t="s">
        <v>88</v>
      </c>
      <c r="E3" s="451" t="s">
        <v>135</v>
      </c>
      <c r="F3" s="302" t="s">
        <v>152</v>
      </c>
      <c r="G3" s="303" t="s">
        <v>124</v>
      </c>
      <c r="H3" s="303" t="s">
        <v>88</v>
      </c>
      <c r="I3" s="451" t="s">
        <v>136</v>
      </c>
      <c r="J3" s="302" t="s">
        <v>152</v>
      </c>
      <c r="K3" s="303" t="s">
        <v>124</v>
      </c>
      <c r="L3" s="303" t="s">
        <v>88</v>
      </c>
      <c r="M3" s="451" t="s">
        <v>198</v>
      </c>
      <c r="N3" s="388" t="s">
        <v>152</v>
      </c>
      <c r="O3" s="158" t="s">
        <v>124</v>
      </c>
      <c r="P3" s="158" t="s">
        <v>88</v>
      </c>
      <c r="Q3" s="456" t="s">
        <v>2</v>
      </c>
    </row>
    <row r="4" spans="1:17">
      <c r="A4" s="380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>
      <c r="A7" s="381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>
      <c r="A8" s="117" t="s">
        <v>53</v>
      </c>
      <c r="B8" s="115">
        <f>'Sch AL-TOU TSM'!R40</f>
        <v>12009.832192648977</v>
      </c>
      <c r="C8" s="134">
        <f>'Sch AL-TOU TSM'!R41</f>
        <v>26748.361814100892</v>
      </c>
      <c r="D8" s="134"/>
      <c r="E8" s="44">
        <f>'Sch AL-TOU TSM'!R39</f>
        <v>12431.456796247723</v>
      </c>
      <c r="F8" s="115">
        <f>'Sch AL-TOU TSM'!V40</f>
        <v>0</v>
      </c>
      <c r="G8" s="134">
        <f>'Sch AL-TOU TSM'!V41</f>
        <v>0</v>
      </c>
      <c r="H8" s="134"/>
      <c r="I8" s="44">
        <f>'Sch AL-TOU TSM'!V39</f>
        <v>0</v>
      </c>
      <c r="J8" s="115"/>
      <c r="K8" s="134"/>
      <c r="L8" s="134"/>
      <c r="M8" s="44"/>
      <c r="N8" s="115">
        <f>'Sch AL-TOU TSM'!AD40</f>
        <v>11494.704586346632</v>
      </c>
      <c r="O8" s="134">
        <f>'Sch AL-TOU TSM'!AD41</f>
        <v>18642.797628009714</v>
      </c>
      <c r="P8" s="134"/>
      <c r="Q8" s="44">
        <f>'Sch AL-TOU TSM'!AD39</f>
        <v>11772.54565863742</v>
      </c>
    </row>
    <row r="9" spans="1:17">
      <c r="A9" s="117" t="s">
        <v>51</v>
      </c>
      <c r="B9" s="115">
        <f>'Sch AL-TOU TSM'!S40</f>
        <v>2413.0682526689016</v>
      </c>
      <c r="C9" s="134">
        <f>'Sch AL-TOU TSM'!S41</f>
        <v>6763.1789694973359</v>
      </c>
      <c r="D9" s="134"/>
      <c r="E9" s="44">
        <f>'Sch AL-TOU TSM'!S39</f>
        <v>2537.511718448819</v>
      </c>
      <c r="F9" s="115">
        <f>'Sch AL-TOU TSM'!W40</f>
        <v>3129.9273129422195</v>
      </c>
      <c r="G9" s="134">
        <f>'Sch AL-TOU TSM'!W41</f>
        <v>3129.927312942219</v>
      </c>
      <c r="H9" s="134"/>
      <c r="I9" s="44">
        <f>'Sch AL-TOU TSM'!W39</f>
        <v>3129.9273129422199</v>
      </c>
      <c r="J9" s="115"/>
      <c r="K9" s="134"/>
      <c r="L9" s="134"/>
      <c r="M9" s="44"/>
      <c r="N9" s="115">
        <f>'Sch AL-TOU TSM'!AE40</f>
        <v>2443.8158839306248</v>
      </c>
      <c r="O9" s="134">
        <f>'Sch AL-TOU TSM'!AE41</f>
        <v>5662.1936190260894</v>
      </c>
      <c r="P9" s="134"/>
      <c r="Q9" s="44">
        <f>'Sch AL-TOU TSM'!AE39</f>
        <v>2568.9118382982929</v>
      </c>
    </row>
    <row r="10" spans="1:17">
      <c r="A10" s="117" t="s">
        <v>52</v>
      </c>
      <c r="B10" s="115">
        <f>'Sch AL-TOU TSM'!T40</f>
        <v>640.35649843357612</v>
      </c>
      <c r="C10" s="134">
        <f>'Sch AL-TOU TSM'!T41</f>
        <v>855.29307702752419</v>
      </c>
      <c r="D10" s="134"/>
      <c r="E10" s="44">
        <f>'Sch AL-TOU TSM'!T39</f>
        <v>646.50518165205972</v>
      </c>
      <c r="F10" s="115">
        <f>'Sch AL-TOU TSM'!X40</f>
        <v>948.09205878762964</v>
      </c>
      <c r="G10" s="134">
        <f>'Sch AL-TOU TSM'!X41</f>
        <v>956.79196332763945</v>
      </c>
      <c r="H10" s="134"/>
      <c r="I10" s="44">
        <f>'Sch AL-TOU TSM'!X39</f>
        <v>950.0253709076319</v>
      </c>
      <c r="J10" s="115"/>
      <c r="K10" s="134"/>
      <c r="L10" s="134"/>
      <c r="M10" s="44"/>
      <c r="N10" s="115">
        <f>'Sch AL-TOU TSM'!AF40</f>
        <v>653.55594036052707</v>
      </c>
      <c r="O10" s="134">
        <f>'Sch AL-TOU TSM'!AF41</f>
        <v>886.05031530028657</v>
      </c>
      <c r="P10" s="134"/>
      <c r="Q10" s="44">
        <f>'Sch AL-TOU TSM'!AF39</f>
        <v>662.59282419210808</v>
      </c>
    </row>
    <row r="11" spans="1:17">
      <c r="A11" s="382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>
      <c r="A12" s="117" t="s">
        <v>35</v>
      </c>
      <c r="B12" s="114">
        <f t="shared" ref="B12:I12" si="0">SUM(B8:B10)</f>
        <v>15063.256943751454</v>
      </c>
      <c r="C12" s="30">
        <f t="shared" si="0"/>
        <v>34366.833860625753</v>
      </c>
      <c r="D12" s="30"/>
      <c r="E12" s="40">
        <f t="shared" si="0"/>
        <v>15615.473696348601</v>
      </c>
      <c r="F12" s="114">
        <f t="shared" si="0"/>
        <v>4078.0193717298489</v>
      </c>
      <c r="G12" s="30">
        <f t="shared" si="0"/>
        <v>4086.7192762698587</v>
      </c>
      <c r="H12" s="30"/>
      <c r="I12" s="40">
        <f t="shared" si="0"/>
        <v>4079.9526838498518</v>
      </c>
      <c r="J12" s="114"/>
      <c r="K12" s="30"/>
      <c r="L12" s="30"/>
      <c r="M12" s="40"/>
      <c r="N12" s="114">
        <f t="shared" ref="N12:Q12" si="1">SUM(N8:N10)</f>
        <v>14592.076410637785</v>
      </c>
      <c r="O12" s="30">
        <f t="shared" si="1"/>
        <v>25191.04156233609</v>
      </c>
      <c r="P12" s="30"/>
      <c r="Q12" s="40">
        <f t="shared" si="1"/>
        <v>15004.050321127821</v>
      </c>
    </row>
    <row r="13" spans="1:17">
      <c r="A13" s="382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>
      <c r="A15" s="383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>
      <c r="A18" s="384" t="s">
        <v>97</v>
      </c>
      <c r="B18" s="114">
        <f>(B8*(1+$A$15)*(1+$A$17))</f>
        <v>12528.214446876087</v>
      </c>
      <c r="C18" s="30">
        <f t="shared" ref="C18:E18" si="2">(C8*(1+$A$15)*(1+$A$17))</f>
        <v>27902.90551393402</v>
      </c>
      <c r="D18" s="30"/>
      <c r="E18" s="40">
        <f t="shared" si="2"/>
        <v>12968.037698794407</v>
      </c>
      <c r="F18" s="114">
        <f t="shared" ref="F18:Q18" si="3">(F8*(1+$A$15)*(1+$A$17))</f>
        <v>0</v>
      </c>
      <c r="G18" s="30">
        <f t="shared" si="3"/>
        <v>0</v>
      </c>
      <c r="H18" s="30"/>
      <c r="I18" s="40">
        <f t="shared" si="3"/>
        <v>0</v>
      </c>
      <c r="J18" s="114"/>
      <c r="K18" s="30"/>
      <c r="L18" s="30"/>
      <c r="M18" s="40"/>
      <c r="N18" s="114">
        <f t="shared" si="3"/>
        <v>11990.852307610568</v>
      </c>
      <c r="O18" s="30">
        <f t="shared" si="3"/>
        <v>19447.479600620682</v>
      </c>
      <c r="P18" s="30"/>
      <c r="Q18" s="40">
        <f t="shared" si="3"/>
        <v>12280.68587730354</v>
      </c>
    </row>
    <row r="19" spans="1:17">
      <c r="A19" s="384" t="s">
        <v>51</v>
      </c>
      <c r="B19" s="114">
        <f t="shared" ref="B19:E20" si="4">(B9*(1+$A$15)*(1+$A$17))</f>
        <v>2517.2238928441266</v>
      </c>
      <c r="C19" s="30">
        <f t="shared" si="4"/>
        <v>7055.0991149008105</v>
      </c>
      <c r="D19" s="30"/>
      <c r="E19" s="40">
        <f t="shared" si="4"/>
        <v>2647.0387312860457</v>
      </c>
      <c r="F19" s="114">
        <f t="shared" ref="F19:Q19" si="5">(F9*(1+$A$15)*(1+$A$17))</f>
        <v>3265.0248521936915</v>
      </c>
      <c r="G19" s="30">
        <f t="shared" si="5"/>
        <v>3265.024852193691</v>
      </c>
      <c r="H19" s="30"/>
      <c r="I19" s="40">
        <f t="shared" si="5"/>
        <v>3265.0248521936919</v>
      </c>
      <c r="J19" s="114"/>
      <c r="K19" s="30"/>
      <c r="L19" s="30"/>
      <c r="M19" s="40"/>
      <c r="N19" s="114">
        <f t="shared" si="5"/>
        <v>2549.2986888946593</v>
      </c>
      <c r="O19" s="30">
        <f t="shared" si="5"/>
        <v>5906.5917625653201</v>
      </c>
      <c r="P19" s="30"/>
      <c r="Q19" s="40">
        <f t="shared" si="5"/>
        <v>2679.7941793906916</v>
      </c>
    </row>
    <row r="20" spans="1:17">
      <c r="A20" s="384" t="s">
        <v>52</v>
      </c>
      <c r="B20" s="114">
        <f t="shared" si="4"/>
        <v>667.99630553847123</v>
      </c>
      <c r="C20" s="30">
        <f t="shared" si="4"/>
        <v>892.21022509273598</v>
      </c>
      <c r="D20" s="30"/>
      <c r="E20" s="40">
        <f t="shared" si="4"/>
        <v>674.41038532671507</v>
      </c>
      <c r="F20" s="114">
        <f t="shared" ref="F20:Q20" si="6">(F10*(1+$A$15)*(1+$A$17))</f>
        <v>989.01470373099335</v>
      </c>
      <c r="G20" s="30">
        <f t="shared" si="6"/>
        <v>998.09012360332986</v>
      </c>
      <c r="H20" s="30"/>
      <c r="I20" s="40">
        <f t="shared" si="6"/>
        <v>991.0314637026238</v>
      </c>
      <c r="J20" s="114"/>
      <c r="K20" s="30"/>
      <c r="L20" s="30"/>
      <c r="M20" s="40"/>
      <c r="N20" s="114">
        <f t="shared" si="6"/>
        <v>681.76547702957214</v>
      </c>
      <c r="O20" s="30">
        <f t="shared" si="6"/>
        <v>924.29504282321909</v>
      </c>
      <c r="P20" s="30"/>
      <c r="Q20" s="40">
        <f t="shared" si="6"/>
        <v>691.19242128303574</v>
      </c>
    </row>
    <row r="21" spans="1:17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>
      <c r="A22" s="117" t="s">
        <v>35</v>
      </c>
      <c r="B22" s="119">
        <f t="shared" ref="B22:I22" si="7">B18+B19+B20</f>
        <v>15713.434645258685</v>
      </c>
      <c r="C22" s="73">
        <f t="shared" si="7"/>
        <v>35850.214853927566</v>
      </c>
      <c r="D22" s="73"/>
      <c r="E22" s="75">
        <f t="shared" si="7"/>
        <v>16289.486815407168</v>
      </c>
      <c r="F22" s="119">
        <f t="shared" si="7"/>
        <v>4254.0395559246845</v>
      </c>
      <c r="G22" s="73">
        <f t="shared" si="7"/>
        <v>4263.1149757970206</v>
      </c>
      <c r="H22" s="73"/>
      <c r="I22" s="75">
        <f t="shared" si="7"/>
        <v>4256.0563158963159</v>
      </c>
      <c r="J22" s="119"/>
      <c r="K22" s="73"/>
      <c r="L22" s="73"/>
      <c r="M22" s="75"/>
      <c r="N22" s="119">
        <f t="shared" ref="N22:Q22" si="8">N18+N19+N20</f>
        <v>15221.9164735348</v>
      </c>
      <c r="O22" s="73">
        <f t="shared" si="8"/>
        <v>26278.36640600922</v>
      </c>
      <c r="P22" s="73"/>
      <c r="Q22" s="75">
        <f t="shared" si="8"/>
        <v>15651.672477977268</v>
      </c>
    </row>
    <row r="23" spans="1:17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>
      <c r="A24" s="384" t="str">
        <f>'Resid TSM Sum by Rate Schedule'!A25</f>
        <v>Annualized Transformer Cost at 8.05%</v>
      </c>
      <c r="B24" s="119">
        <f>B18*Inputs!$C$5</f>
        <v>1008.2539426178312</v>
      </c>
      <c r="C24" s="73">
        <f>C18*Inputs!$C$5</f>
        <v>2245.5885165608593</v>
      </c>
      <c r="D24" s="73"/>
      <c r="E24" s="75">
        <f>E18*Inputs!$C$5</f>
        <v>1043.6503296833653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965.00775635358593</v>
      </c>
      <c r="O24" s="73">
        <f>O18*Inputs!$C$5</f>
        <v>1565.1071479060533</v>
      </c>
      <c r="P24" s="73"/>
      <c r="Q24" s="75">
        <f>Q18*Inputs!$C$5</f>
        <v>988.33317439979487</v>
      </c>
    </row>
    <row r="25" spans="1:17">
      <c r="A25" s="384" t="str">
        <f>'Resid TSM Sum by Rate Schedule'!A26</f>
        <v>Annualized Services Cost at 7.08%</v>
      </c>
      <c r="B25" s="119">
        <f>B19*Inputs!$C$6</f>
        <v>178.15667190280973</v>
      </c>
      <c r="C25" s="73">
        <f>C19*Inputs!$C$6</f>
        <v>499.32506275198404</v>
      </c>
      <c r="D25" s="73"/>
      <c r="E25" s="75">
        <f>E19*Inputs!$C$6</f>
        <v>187.34432487486316</v>
      </c>
      <c r="F25" s="119">
        <f>F19*Inputs!$C$6</f>
        <v>231.08232962526188</v>
      </c>
      <c r="G25" s="73">
        <f>G19*Inputs!$C$6</f>
        <v>231.08232962526185</v>
      </c>
      <c r="H25" s="73"/>
      <c r="I25" s="75">
        <f>I19*Inputs!$C$6</f>
        <v>231.08232962526191</v>
      </c>
      <c r="J25" s="119"/>
      <c r="K25" s="73"/>
      <c r="L25" s="73"/>
      <c r="M25" s="75"/>
      <c r="N25" s="119">
        <f>N19*Inputs!$C$6</f>
        <v>180.42676751590511</v>
      </c>
      <c r="O25" s="73">
        <f>O19*Inputs!$C$6</f>
        <v>418.03938604691672</v>
      </c>
      <c r="P25" s="73"/>
      <c r="Q25" s="75">
        <f>Q19*Inputs!$C$6</f>
        <v>189.66259367788786</v>
      </c>
    </row>
    <row r="26" spans="1:17" ht="15">
      <c r="A26" s="384" t="str">
        <f>'Resid TSM Sum by Rate Schedule'!A27</f>
        <v>Annualized Meter Cost at 10.78%</v>
      </c>
      <c r="B26" s="465">
        <f>B20*Inputs!$C$7</f>
        <v>71.987590024454178</v>
      </c>
      <c r="C26" s="464">
        <f>C20*Inputs!$C$7</f>
        <v>96.150328028876856</v>
      </c>
      <c r="D26" s="464"/>
      <c r="E26" s="463">
        <f>E20*Inputs!$C$7</f>
        <v>72.678812629058314</v>
      </c>
      <c r="F26" s="465">
        <f>F20*Inputs!$C$7</f>
        <v>106.58260297256001</v>
      </c>
      <c r="G26" s="464">
        <f>G20*Inputs!$C$7</f>
        <v>107.56062874853029</v>
      </c>
      <c r="H26" s="464"/>
      <c r="I26" s="463">
        <f>I20*Inputs!$C$7</f>
        <v>106.79994203388675</v>
      </c>
      <c r="J26" s="465"/>
      <c r="K26" s="464"/>
      <c r="L26" s="464"/>
      <c r="M26" s="463"/>
      <c r="N26" s="465">
        <f>N20*Inputs!$C$7</f>
        <v>73.471444746493049</v>
      </c>
      <c r="O26" s="464">
        <f>O20*Inputs!$C$7</f>
        <v>99.607994913620345</v>
      </c>
      <c r="P26" s="464"/>
      <c r="Q26" s="463">
        <f>Q20*Inputs!$C$7</f>
        <v>74.487353056876117</v>
      </c>
    </row>
    <row r="27" spans="1:17">
      <c r="A27" s="459" t="s">
        <v>312</v>
      </c>
      <c r="B27" s="119">
        <f>SUM(B24:B26)</f>
        <v>1258.398204545095</v>
      </c>
      <c r="C27" s="73">
        <f t="shared" ref="C27:Q27" si="9">SUM(C24:C26)</f>
        <v>2841.0639073417206</v>
      </c>
      <c r="D27" s="73"/>
      <c r="E27" s="75">
        <f t="shared" si="9"/>
        <v>1303.6734671872866</v>
      </c>
      <c r="F27" s="119">
        <f t="shared" si="9"/>
        <v>337.66493259782192</v>
      </c>
      <c r="G27" s="73">
        <f t="shared" si="9"/>
        <v>338.64295837379211</v>
      </c>
      <c r="H27" s="73"/>
      <c r="I27" s="75">
        <f t="shared" si="9"/>
        <v>337.88227165914867</v>
      </c>
      <c r="J27" s="119"/>
      <c r="K27" s="73"/>
      <c r="L27" s="73"/>
      <c r="M27" s="75"/>
      <c r="N27" s="119">
        <f t="shared" si="9"/>
        <v>1218.905968615984</v>
      </c>
      <c r="O27" s="73">
        <f t="shared" si="9"/>
        <v>2082.7545288665901</v>
      </c>
      <c r="P27" s="73"/>
      <c r="Q27" s="75">
        <f t="shared" si="9"/>
        <v>1252.4831211345588</v>
      </c>
    </row>
    <row r="28" spans="1:17">
      <c r="A28" s="383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>
      <c r="A29" s="117" t="s">
        <v>50</v>
      </c>
      <c r="B29" s="114">
        <f>'Distribution O&amp;M Allocations'!$S$20</f>
        <v>524.31117847620487</v>
      </c>
      <c r="C29" s="30">
        <f>'Distribution O&amp;M Allocations'!$S$20</f>
        <v>524.31117847620487</v>
      </c>
      <c r="D29" s="30"/>
      <c r="E29" s="30">
        <f>'Distribution O&amp;M Allocations'!$S$20</f>
        <v>524.31117847620487</v>
      </c>
      <c r="F29" s="114">
        <f>'Distribution O&amp;M Allocations'!$T$20</f>
        <v>136.99006776186857</v>
      </c>
      <c r="G29" s="30">
        <f>'Distribution O&amp;M Allocations'!$T$20</f>
        <v>136.99006776186857</v>
      </c>
      <c r="H29" s="30"/>
      <c r="I29" s="30">
        <f>'Distribution O&amp;M Allocations'!$T$20</f>
        <v>136.99006776186857</v>
      </c>
      <c r="J29" s="114"/>
      <c r="K29" s="30"/>
      <c r="L29" s="30"/>
      <c r="M29" s="40"/>
      <c r="N29" s="114">
        <f>'Distribution O&amp;M Allocations'!$U$24</f>
        <v>503.78179098251212</v>
      </c>
      <c r="O29" s="30">
        <f>'Distribution O&amp;M Allocations'!$U$24</f>
        <v>503.78179098251212</v>
      </c>
      <c r="P29" s="30"/>
      <c r="Q29" s="40">
        <f>'Distribution O&amp;M Allocations'!$U$24</f>
        <v>503.78179098251212</v>
      </c>
    </row>
    <row r="30" spans="1:17">
      <c r="A30" s="118"/>
      <c r="B30" s="10"/>
      <c r="C30" s="27"/>
      <c r="D30" s="27"/>
      <c r="E30" s="81"/>
      <c r="F30" s="10"/>
      <c r="G30" s="27"/>
      <c r="H30" s="27"/>
      <c r="I30" s="81"/>
      <c r="J30" s="10"/>
      <c r="K30" s="27"/>
      <c r="L30" s="27"/>
      <c r="M30" s="81"/>
      <c r="N30" s="114"/>
      <c r="O30" s="30"/>
      <c r="P30" s="30"/>
      <c r="Q30" s="40"/>
    </row>
    <row r="31" spans="1:17">
      <c r="A31" s="117" t="s">
        <v>57</v>
      </c>
      <c r="B31" s="723">
        <v>447.86258547437507</v>
      </c>
      <c r="C31" s="724">
        <v>447.86258547437507</v>
      </c>
      <c r="D31" s="724"/>
      <c r="E31" s="724">
        <v>447.86258547437507</v>
      </c>
      <c r="F31" s="723">
        <v>447.86258547437507</v>
      </c>
      <c r="G31" s="724">
        <v>447.86258547437507</v>
      </c>
      <c r="H31" s="724"/>
      <c r="I31" s="724">
        <v>447.86258547437507</v>
      </c>
      <c r="J31" s="164"/>
      <c r="K31" s="165"/>
      <c r="L31" s="165"/>
      <c r="M31" s="293"/>
      <c r="N31" s="725">
        <v>447.86258547437507</v>
      </c>
      <c r="O31" s="616">
        <v>447.86258547437507</v>
      </c>
      <c r="P31" s="616"/>
      <c r="Q31" s="717">
        <v>447.86258547437507</v>
      </c>
    </row>
    <row r="32" spans="1:17" ht="13.5" thickBot="1">
      <c r="A32" s="11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  <c r="N32" s="116"/>
      <c r="O32" s="87"/>
      <c r="P32" s="87"/>
      <c r="Q32" s="88"/>
    </row>
    <row r="33" spans="1:17" ht="13.5" thickBot="1">
      <c r="A33" s="385" t="s">
        <v>133</v>
      </c>
      <c r="B33" s="282">
        <f t="shared" ref="B33:Q33" si="10">B27+B29+B31</f>
        <v>2230.5719684956748</v>
      </c>
      <c r="C33" s="283">
        <f>C27+C29+C31</f>
        <v>3813.2376712923005</v>
      </c>
      <c r="D33" s="283"/>
      <c r="E33" s="294">
        <f t="shared" si="10"/>
        <v>2275.8472311378664</v>
      </c>
      <c r="F33" s="282">
        <f t="shared" si="10"/>
        <v>922.51758583406559</v>
      </c>
      <c r="G33" s="283">
        <f t="shared" si="10"/>
        <v>923.49561161003567</v>
      </c>
      <c r="H33" s="283"/>
      <c r="I33" s="294">
        <f t="shared" si="10"/>
        <v>922.7349248953924</v>
      </c>
      <c r="J33" s="282"/>
      <c r="K33" s="283"/>
      <c r="L33" s="283"/>
      <c r="M33" s="294"/>
      <c r="N33" s="282">
        <f t="shared" si="10"/>
        <v>2170.5503450728711</v>
      </c>
      <c r="O33" s="283">
        <f t="shared" si="10"/>
        <v>3034.3989053234773</v>
      </c>
      <c r="P33" s="283"/>
      <c r="Q33" s="294">
        <f t="shared" si="10"/>
        <v>2204.1274975914462</v>
      </c>
    </row>
    <row r="34" spans="1:17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6" spans="1:17">
      <c r="A36" t="s">
        <v>3</v>
      </c>
    </row>
    <row r="44" spans="1:17">
      <c r="A44" s="19"/>
    </row>
    <row r="56" spans="1:1">
      <c r="A56" s="19"/>
    </row>
  </sheetData>
  <mergeCells count="5">
    <mergeCell ref="A1:Q1"/>
    <mergeCell ref="B2:E2"/>
    <mergeCell ref="F2:I2"/>
    <mergeCell ref="N2:Q2"/>
    <mergeCell ref="J2:M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42">
    <tabColor rgb="FFFFC000"/>
  </sheetPr>
  <dimension ref="A1:Q58"/>
  <sheetViews>
    <sheetView zoomScaleNormal="100" workbookViewId="0">
      <selection activeCell="A8" sqref="A8"/>
    </sheetView>
  </sheetViews>
  <sheetFormatPr defaultRowHeight="12.75"/>
  <cols>
    <col min="1" max="1" width="40.7109375" customWidth="1"/>
    <col min="2" max="2" width="10.28515625" style="12" customWidth="1"/>
    <col min="3" max="3" width="17" style="12" bestFit="1" customWidth="1"/>
    <col min="4" max="4" width="8.7109375" style="12" bestFit="1" customWidth="1"/>
    <col min="5" max="5" width="10.28515625" style="12" bestFit="1" customWidth="1"/>
    <col min="6" max="6" width="14" style="12" bestFit="1" customWidth="1"/>
    <col min="7" max="7" width="17.140625" style="12" bestFit="1" customWidth="1"/>
    <col min="8" max="8" width="14.85546875" style="12" bestFit="1" customWidth="1"/>
    <col min="9" max="9" width="13.7109375" style="12" bestFit="1" customWidth="1"/>
    <col min="10" max="10" width="15.140625" style="12" bestFit="1" customWidth="1"/>
    <col min="11" max="11" width="17.140625" style="12" bestFit="1" customWidth="1"/>
    <col min="12" max="12" width="14" style="12" bestFit="1" customWidth="1"/>
    <col min="13" max="13" width="15.85546875" style="12" bestFit="1" customWidth="1"/>
    <col min="14" max="14" width="14.42578125" bestFit="1" customWidth="1"/>
    <col min="15" max="15" width="17.140625" bestFit="1" customWidth="1"/>
    <col min="16" max="16" width="14.85546875" bestFit="1" customWidth="1"/>
    <col min="17" max="17" width="14.42578125" bestFit="1" customWidth="1"/>
  </cols>
  <sheetData>
    <row r="1" spans="1:17" ht="18.75" thickBot="1">
      <c r="A1" s="741" t="s">
        <v>362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  <c r="N1" s="760"/>
      <c r="O1" s="760"/>
      <c r="P1" s="760"/>
      <c r="Q1" s="760"/>
    </row>
    <row r="2" spans="1:17" ht="13.5" thickBot="1">
      <c r="A2" s="103"/>
      <c r="B2" s="751" t="s">
        <v>0</v>
      </c>
      <c r="C2" s="745"/>
      <c r="D2" s="745"/>
      <c r="E2" s="746"/>
      <c r="F2" s="742" t="s">
        <v>1</v>
      </c>
      <c r="G2" s="743"/>
      <c r="H2" s="743"/>
      <c r="I2" s="744"/>
      <c r="J2" s="742" t="s">
        <v>87</v>
      </c>
      <c r="K2" s="743"/>
      <c r="L2" s="743"/>
      <c r="M2" s="744"/>
      <c r="N2" s="742" t="s">
        <v>207</v>
      </c>
      <c r="O2" s="743"/>
      <c r="P2" s="743"/>
      <c r="Q2" s="744"/>
    </row>
    <row r="3" spans="1:17" ht="13.5" thickBot="1">
      <c r="A3" s="77" t="s">
        <v>47</v>
      </c>
      <c r="B3" s="302" t="s">
        <v>152</v>
      </c>
      <c r="C3" s="303" t="s">
        <v>124</v>
      </c>
      <c r="D3" s="303" t="s">
        <v>88</v>
      </c>
      <c r="E3" s="451" t="s">
        <v>2</v>
      </c>
      <c r="F3" s="302" t="s">
        <v>152</v>
      </c>
      <c r="G3" s="303" t="s">
        <v>124</v>
      </c>
      <c r="H3" s="303" t="s">
        <v>88</v>
      </c>
      <c r="I3" s="451" t="s">
        <v>2</v>
      </c>
      <c r="J3" s="302" t="s">
        <v>152</v>
      </c>
      <c r="K3" s="303" t="s">
        <v>124</v>
      </c>
      <c r="L3" s="303" t="s">
        <v>88</v>
      </c>
      <c r="M3" s="451" t="s">
        <v>2</v>
      </c>
      <c r="N3" s="302" t="s">
        <v>152</v>
      </c>
      <c r="O3" s="303" t="s">
        <v>124</v>
      </c>
      <c r="P3" s="303" t="s">
        <v>88</v>
      </c>
      <c r="Q3" s="451" t="s">
        <v>2</v>
      </c>
    </row>
    <row r="4" spans="1:17">
      <c r="A4" s="380"/>
      <c r="B4" s="104"/>
      <c r="C4" s="8"/>
      <c r="D4" s="8"/>
      <c r="E4" s="8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17"/>
      <c r="B5" s="104"/>
      <c r="C5" s="8"/>
      <c r="D5" s="8"/>
      <c r="E5" s="8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>
      <c r="A6" s="117" t="s">
        <v>49</v>
      </c>
      <c r="B6" s="114"/>
      <c r="C6" s="30"/>
      <c r="D6" s="30"/>
      <c r="E6" s="3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>
      <c r="A7" s="381"/>
      <c r="B7" s="114"/>
      <c r="C7" s="30"/>
      <c r="D7" s="30"/>
      <c r="E7" s="3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>
      <c r="A8" s="117" t="s">
        <v>53</v>
      </c>
      <c r="B8" s="115">
        <f>'Sch AL-TOU TSM Summary'!B8*Inputs!$C$12</f>
        <v>13032.398113414789</v>
      </c>
      <c r="C8" s="134">
        <f>'Sch AL-TOU TSM Summary'!C8*Inputs!$C$12</f>
        <v>29025.826044130255</v>
      </c>
      <c r="D8" s="134"/>
      <c r="E8" s="134">
        <f>'Sch AL-TOU TSM Summary'!E8*Inputs!$C$12</f>
        <v>13489.921549243711</v>
      </c>
      <c r="F8" s="115">
        <f>'Sch AL-TOU TSM Summary'!F8*Inputs!$C$12</f>
        <v>0</v>
      </c>
      <c r="G8" s="134">
        <f>'Sch AL-TOU TSM Summary'!G8*Inputs!$C$12</f>
        <v>0</v>
      </c>
      <c r="H8" s="134"/>
      <c r="I8" s="44">
        <f>'Sch AL-TOU TSM Summary'!I8*Inputs!$C$12</f>
        <v>0</v>
      </c>
      <c r="J8" s="115"/>
      <c r="K8" s="134"/>
      <c r="L8" s="134"/>
      <c r="M8" s="44"/>
      <c r="N8" s="115">
        <f>'Sch AL-TOU TSM Summary'!N8*Inputs!$C$12</f>
        <v>12473.41044923646</v>
      </c>
      <c r="O8" s="134">
        <f>'Sch AL-TOU TSM Summary'!O8*Inputs!$C$12</f>
        <v>20230.121182272604</v>
      </c>
      <c r="P8" s="134"/>
      <c r="Q8" s="44">
        <f>'Sch AL-TOU TSM Summary'!Q8*Inputs!$C$12</f>
        <v>12774.908039566484</v>
      </c>
    </row>
    <row r="9" spans="1:17">
      <c r="A9" s="117" t="s">
        <v>51</v>
      </c>
      <c r="B9" s="115">
        <f>'Sch AL-TOU TSM Summary'!B9*Inputs!$C$12</f>
        <v>2618.5266903955712</v>
      </c>
      <c r="C9" s="134">
        <f>'Sch AL-TOU TSM Summary'!C9*Inputs!$C$12</f>
        <v>7339.0235124778001</v>
      </c>
      <c r="D9" s="134"/>
      <c r="E9" s="134">
        <f>'Sch AL-TOU TSM Summary'!E9*Inputs!$C$12</f>
        <v>2753.5657785894655</v>
      </c>
      <c r="F9" s="115">
        <f>'Sch AL-TOU TSM Summary'!F9*Inputs!$C$12</f>
        <v>3396.4220443713425</v>
      </c>
      <c r="G9" s="134">
        <f>'Sch AL-TOU TSM Summary'!G9*Inputs!$C$12</f>
        <v>3396.4220443713421</v>
      </c>
      <c r="H9" s="134"/>
      <c r="I9" s="44">
        <f>'Sch AL-TOU TSM Summary'!I9*Inputs!$C$12</f>
        <v>3396.422044371343</v>
      </c>
      <c r="J9" s="115"/>
      <c r="K9" s="134"/>
      <c r="L9" s="134"/>
      <c r="M9" s="44"/>
      <c r="N9" s="115">
        <f>'Sch AL-TOU TSM Summary'!N9*Inputs!$C$12</f>
        <v>2651.8922999411006</v>
      </c>
      <c r="O9" s="134">
        <f>'Sch AL-TOU TSM Summary'!O9*Inputs!$C$12</f>
        <v>6144.295794869784</v>
      </c>
      <c r="P9" s="134"/>
      <c r="Q9" s="44">
        <f>'Sch AL-TOU TSM Summary'!Q9*Inputs!$C$12</f>
        <v>2787.6394322528163</v>
      </c>
    </row>
    <row r="10" spans="1:17">
      <c r="A10" s="117" t="s">
        <v>52</v>
      </c>
      <c r="B10" s="115">
        <f>'Sch AL-TOU TSM Summary'!B10*Inputs!$C$12</f>
        <v>694.87905311505597</v>
      </c>
      <c r="C10" s="134">
        <f>'Sch AL-TOU TSM Summary'!C10*Inputs!$C$12</f>
        <v>928.11620551141755</v>
      </c>
      <c r="D10" s="134"/>
      <c r="E10" s="134">
        <f>'Sch AL-TOU TSM Summary'!E10*Inputs!$C$12</f>
        <v>701.5512602109718</v>
      </c>
      <c r="F10" s="115">
        <f>'Sch AL-TOU TSM Summary'!F10*Inputs!$C$12</f>
        <v>1028.8164697130658</v>
      </c>
      <c r="G10" s="134">
        <f>'Sch AL-TOU TSM Summary'!G10*Inputs!$C$12</f>
        <v>1038.2571194819702</v>
      </c>
      <c r="H10" s="134"/>
      <c r="I10" s="44">
        <f>'Sch AL-TOU TSM Summary'!I10*Inputs!$C$12</f>
        <v>1030.9143918839334</v>
      </c>
      <c r="J10" s="115"/>
      <c r="K10" s="134"/>
      <c r="L10" s="134"/>
      <c r="M10" s="44"/>
      <c r="N10" s="115">
        <f>'Sch AL-TOU TSM Summary'!N10*Inputs!$C$12</f>
        <v>709.20234917011783</v>
      </c>
      <c r="O10" s="134">
        <f>'Sch AL-TOU TSM Summary'!O10*Inputs!$C$12</f>
        <v>961.49224004794883</v>
      </c>
      <c r="P10" s="134"/>
      <c r="Q10" s="44">
        <f>'Sch AL-TOU TSM Summary'!Q10*Inputs!$C$12</f>
        <v>719.00867001695963</v>
      </c>
    </row>
    <row r="11" spans="1:17">
      <c r="A11" s="382"/>
      <c r="B11" s="114"/>
      <c r="C11" s="30"/>
      <c r="D11" s="30"/>
      <c r="E11" s="30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>
      <c r="A12" s="117" t="s">
        <v>35</v>
      </c>
      <c r="B12" s="114">
        <f t="shared" ref="B12:Q12" si="0">SUM(B8:B10)</f>
        <v>16345.803856925415</v>
      </c>
      <c r="C12" s="30">
        <f t="shared" si="0"/>
        <v>37292.965762119471</v>
      </c>
      <c r="D12" s="30"/>
      <c r="E12" s="30">
        <f t="shared" si="0"/>
        <v>16945.038588044146</v>
      </c>
      <c r="F12" s="114">
        <f t="shared" si="0"/>
        <v>4425.2385140844081</v>
      </c>
      <c r="G12" s="30">
        <f t="shared" si="0"/>
        <v>4434.6791638533123</v>
      </c>
      <c r="H12" s="30"/>
      <c r="I12" s="40">
        <f t="shared" si="0"/>
        <v>4427.3364362552766</v>
      </c>
      <c r="J12" s="114"/>
      <c r="K12" s="30"/>
      <c r="L12" s="30"/>
      <c r="M12" s="40"/>
      <c r="N12" s="114">
        <f t="shared" si="0"/>
        <v>15834.505098347679</v>
      </c>
      <c r="O12" s="30">
        <f t="shared" si="0"/>
        <v>27335.909217190336</v>
      </c>
      <c r="P12" s="30"/>
      <c r="Q12" s="40">
        <f t="shared" si="0"/>
        <v>16281.556141836259</v>
      </c>
    </row>
    <row r="13" spans="1:17">
      <c r="A13" s="382"/>
      <c r="B13" s="114"/>
      <c r="C13" s="30"/>
      <c r="D13" s="30"/>
      <c r="E13" s="3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>
      <c r="A14" s="117" t="s">
        <v>61</v>
      </c>
      <c r="B14" s="114"/>
      <c r="C14" s="30"/>
      <c r="D14" s="30"/>
      <c r="E14" s="3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>
      <c r="A15" s="383">
        <f>Inputs!C3</f>
        <v>2.7723662892949787E-2</v>
      </c>
      <c r="B15" s="114"/>
      <c r="C15" s="30"/>
      <c r="D15" s="30"/>
      <c r="E15" s="3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>
      <c r="A16" s="36" t="s">
        <v>60</v>
      </c>
      <c r="B16" s="114"/>
      <c r="C16" s="30"/>
      <c r="D16" s="30"/>
      <c r="E16" s="3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>
      <c r="A17" s="47">
        <f>Inputs!C4</f>
        <v>1.5023E-2</v>
      </c>
      <c r="B17" s="114"/>
      <c r="C17" s="30"/>
      <c r="D17" s="30"/>
      <c r="E17" s="3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>
      <c r="A18" s="384" t="s">
        <v>97</v>
      </c>
      <c r="B18" s="114">
        <f t="shared" ref="B18:E20" si="1">(B8*(1+$A$15)*(1+$A$17))</f>
        <v>13594.917539469068</v>
      </c>
      <c r="C18" s="30">
        <f t="shared" si="1"/>
        <v>30278.672286625628</v>
      </c>
      <c r="D18" s="30"/>
      <c r="E18" s="30">
        <f t="shared" si="1"/>
        <v>14072.189130494688</v>
      </c>
      <c r="F18" s="114">
        <f t="shared" ref="F18:Q18" si="2">(F8*(1+$A$15)*(1+$A$17))</f>
        <v>0</v>
      </c>
      <c r="G18" s="30">
        <f t="shared" si="2"/>
        <v>0</v>
      </c>
      <c r="H18" s="30"/>
      <c r="I18" s="40">
        <f t="shared" si="2"/>
        <v>0</v>
      </c>
      <c r="J18" s="114"/>
      <c r="K18" s="30"/>
      <c r="L18" s="30"/>
      <c r="M18" s="40"/>
      <c r="N18" s="114">
        <f t="shared" si="2"/>
        <v>13011.802203830079</v>
      </c>
      <c r="O18" s="30">
        <f t="shared" si="2"/>
        <v>21103.317048254223</v>
      </c>
      <c r="P18" s="30"/>
      <c r="Q18" s="40">
        <f t="shared" si="2"/>
        <v>13326.31338152854</v>
      </c>
    </row>
    <row r="19" spans="1:17">
      <c r="A19" s="384" t="s">
        <v>51</v>
      </c>
      <c r="B19" s="114">
        <f t="shared" si="1"/>
        <v>2731.5505650631912</v>
      </c>
      <c r="C19" s="30">
        <f t="shared" si="1"/>
        <v>7655.7989254225895</v>
      </c>
      <c r="D19" s="30"/>
      <c r="E19" s="30">
        <f t="shared" si="1"/>
        <v>2872.4183664167563</v>
      </c>
      <c r="F19" s="114">
        <f t="shared" ref="F19:Q19" si="3">(F9*(1+$A$15)*(1+$A$17))</f>
        <v>3543.0223371502479</v>
      </c>
      <c r="G19" s="30">
        <f t="shared" si="3"/>
        <v>3543.0223371502475</v>
      </c>
      <c r="H19" s="30"/>
      <c r="I19" s="40">
        <f t="shared" si="3"/>
        <v>3543.0223371502484</v>
      </c>
      <c r="J19" s="114"/>
      <c r="K19" s="30"/>
      <c r="L19" s="30"/>
      <c r="M19" s="40"/>
      <c r="N19" s="114">
        <f t="shared" si="3"/>
        <v>2766.3563396012396</v>
      </c>
      <c r="O19" s="30">
        <f t="shared" si="3"/>
        <v>6409.5029895824873</v>
      </c>
      <c r="P19" s="30"/>
      <c r="Q19" s="40">
        <f t="shared" si="3"/>
        <v>2907.9627464909699</v>
      </c>
    </row>
    <row r="20" spans="1:17">
      <c r="A20" s="384" t="s">
        <v>52</v>
      </c>
      <c r="B20" s="114">
        <f t="shared" si="1"/>
        <v>724.87222572486667</v>
      </c>
      <c r="C20" s="30">
        <f t="shared" si="1"/>
        <v>968.17662959396262</v>
      </c>
      <c r="D20" s="30"/>
      <c r="E20" s="30">
        <f t="shared" si="1"/>
        <v>731.83242633306224</v>
      </c>
      <c r="F20" s="114">
        <f t="shared" ref="F20:Q20" si="4">(F10*(1+$A$15)*(1+$A$17))</f>
        <v>1073.2234349562832</v>
      </c>
      <c r="G20" s="30">
        <f t="shared" si="4"/>
        <v>1083.0715729590006</v>
      </c>
      <c r="H20" s="30"/>
      <c r="I20" s="40">
        <f t="shared" si="4"/>
        <v>1075.411910067998</v>
      </c>
      <c r="J20" s="114"/>
      <c r="K20" s="30"/>
      <c r="L20" s="30"/>
      <c r="M20" s="40"/>
      <c r="N20" s="114">
        <f t="shared" si="4"/>
        <v>739.81376043454782</v>
      </c>
      <c r="O20" s="30">
        <f t="shared" si="4"/>
        <v>1002.9932790985198</v>
      </c>
      <c r="P20" s="30"/>
      <c r="Q20" s="40">
        <f t="shared" si="4"/>
        <v>750.04335303279436</v>
      </c>
    </row>
    <row r="21" spans="1:17">
      <c r="A21" s="117"/>
      <c r="B21" s="119"/>
      <c r="C21" s="73"/>
      <c r="D21" s="73"/>
      <c r="E21" s="73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>
      <c r="A22" s="117" t="s">
        <v>35</v>
      </c>
      <c r="B22" s="119">
        <f t="shared" ref="B22:I22" si="5">B18+B19+B20</f>
        <v>17051.340330257128</v>
      </c>
      <c r="C22" s="73">
        <f t="shared" si="5"/>
        <v>38902.647841642174</v>
      </c>
      <c r="D22" s="73"/>
      <c r="E22" s="73">
        <f t="shared" si="5"/>
        <v>17676.439923244507</v>
      </c>
      <c r="F22" s="119">
        <f t="shared" si="5"/>
        <v>4616.2457721065311</v>
      </c>
      <c r="G22" s="73">
        <f t="shared" si="5"/>
        <v>4626.0939101092481</v>
      </c>
      <c r="H22" s="73"/>
      <c r="I22" s="75">
        <f t="shared" si="5"/>
        <v>4618.4342472182461</v>
      </c>
      <c r="J22" s="119"/>
      <c r="K22" s="73"/>
      <c r="L22" s="73"/>
      <c r="M22" s="75"/>
      <c r="N22" s="119">
        <f t="shared" ref="N22:Q22" si="6">N18+N19+N20</f>
        <v>16517.972303865867</v>
      </c>
      <c r="O22" s="73">
        <f t="shared" si="6"/>
        <v>28515.81331693523</v>
      </c>
      <c r="P22" s="73"/>
      <c r="Q22" s="75">
        <f t="shared" si="6"/>
        <v>16984.319481052305</v>
      </c>
    </row>
    <row r="23" spans="1:17">
      <c r="A23" s="117"/>
      <c r="B23" s="114"/>
      <c r="C23" s="30"/>
      <c r="D23" s="30"/>
      <c r="E23" s="3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>
      <c r="A24" s="384" t="str">
        <f>'Resid TSM Sum by Rate Schedule'!A25</f>
        <v>Annualized Transformer Cost at 8.05%</v>
      </c>
      <c r="B24" s="119">
        <f>B18*Inputs!$C$5</f>
        <v>1094.1007808300942</v>
      </c>
      <c r="C24" s="73">
        <f>C18*Inputs!$C$5</f>
        <v>2436.7870489186798</v>
      </c>
      <c r="D24" s="73"/>
      <c r="E24" s="73">
        <f>E18*Inputs!$C$5</f>
        <v>1132.5109601410857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1047.1724385150781</v>
      </c>
      <c r="O24" s="73">
        <f>O18*Inputs!$C$5</f>
        <v>1698.3667310645342</v>
      </c>
      <c r="P24" s="73"/>
      <c r="Q24" s="75">
        <f>Q18*Inputs!$C$5</f>
        <v>1072.4838774480954</v>
      </c>
    </row>
    <row r="25" spans="1:17">
      <c r="A25" s="384" t="str">
        <f>'Resid TSM Sum by Rate Schedule'!A26</f>
        <v>Annualized Services Cost at 7.08%</v>
      </c>
      <c r="B25" s="119">
        <f>B19*Inputs!$C$6</f>
        <v>193.32565497622656</v>
      </c>
      <c r="C25" s="73">
        <f>C19*Inputs!$C$6</f>
        <v>541.83962784865162</v>
      </c>
      <c r="D25" s="73"/>
      <c r="E25" s="73">
        <f>E19*Inputs!$C$6</f>
        <v>203.29558206088549</v>
      </c>
      <c r="F25" s="119">
        <f>F19*Inputs!$C$6</f>
        <v>250.75761828671364</v>
      </c>
      <c r="G25" s="73">
        <f>G19*Inputs!$C$6</f>
        <v>250.75761828671361</v>
      </c>
      <c r="H25" s="73"/>
      <c r="I25" s="75">
        <f>I19*Inputs!$C$6</f>
        <v>250.75761828671367</v>
      </c>
      <c r="J25" s="119"/>
      <c r="K25" s="73"/>
      <c r="L25" s="73"/>
      <c r="M25" s="75"/>
      <c r="N25" s="119">
        <f>N19*Inputs!$C$6</f>
        <v>195.78903575547542</v>
      </c>
      <c r="O25" s="73">
        <f>O19*Inputs!$C$6</f>
        <v>453.63295828442807</v>
      </c>
      <c r="P25" s="73"/>
      <c r="Q25" s="75">
        <f>Q19*Inputs!$C$6</f>
        <v>205.81123769122976</v>
      </c>
    </row>
    <row r="26" spans="1:17" ht="15">
      <c r="A26" s="384" t="str">
        <f>'Resid TSM Sum by Rate Schedule'!A27</f>
        <v>Annualized Meter Cost at 10.78%</v>
      </c>
      <c r="B26" s="465">
        <f>B20*Inputs!$C$7</f>
        <v>78.116905996256378</v>
      </c>
      <c r="C26" s="464">
        <f>C20*Inputs!$C$7</f>
        <v>104.33695771159329</v>
      </c>
      <c r="D26" s="464"/>
      <c r="E26" s="464">
        <f>E20*Inputs!$C$7</f>
        <v>78.866982102540902</v>
      </c>
      <c r="F26" s="465">
        <f>F20*Inputs!$C$7</f>
        <v>115.65747894068241</v>
      </c>
      <c r="G26" s="464">
        <f>G20*Inputs!$C$7</f>
        <v>116.7187778059095</v>
      </c>
      <c r="H26" s="464"/>
      <c r="I26" s="463">
        <f>I20*Inputs!$C$7</f>
        <v>115.89332313295508</v>
      </c>
      <c r="J26" s="465"/>
      <c r="K26" s="464"/>
      <c r="L26" s="464"/>
      <c r="M26" s="463"/>
      <c r="N26" s="465">
        <f>N20*Inputs!$C$7</f>
        <v>79.727102139706062</v>
      </c>
      <c r="O26" s="464">
        <f>O20*Inputs!$C$7</f>
        <v>108.08902440684064</v>
      </c>
      <c r="P26" s="464"/>
      <c r="Q26" s="463">
        <f>Q20*Inputs!$C$7</f>
        <v>80.829509012280226</v>
      </c>
    </row>
    <row r="27" spans="1:17">
      <c r="A27" s="459" t="s">
        <v>312</v>
      </c>
      <c r="B27" s="119">
        <f>SUM(B24:B26)</f>
        <v>1365.5433418025773</v>
      </c>
      <c r="C27" s="73">
        <f t="shared" ref="C27:Q27" si="7">SUM(C24:C26)</f>
        <v>3082.9636344789246</v>
      </c>
      <c r="D27" s="73"/>
      <c r="E27" s="73">
        <f t="shared" si="7"/>
        <v>1414.6735243045121</v>
      </c>
      <c r="F27" s="119">
        <f t="shared" si="7"/>
        <v>366.41509722739602</v>
      </c>
      <c r="G27" s="73">
        <f t="shared" si="7"/>
        <v>367.47639609262308</v>
      </c>
      <c r="H27" s="73"/>
      <c r="I27" s="75">
        <f t="shared" si="7"/>
        <v>366.65094141966875</v>
      </c>
      <c r="J27" s="119"/>
      <c r="K27" s="73"/>
      <c r="L27" s="73"/>
      <c r="M27" s="75"/>
      <c r="N27" s="119">
        <f t="shared" si="7"/>
        <v>1322.6885764102594</v>
      </c>
      <c r="O27" s="73">
        <f t="shared" si="7"/>
        <v>2260.0887137558029</v>
      </c>
      <c r="P27" s="73"/>
      <c r="Q27" s="75">
        <f t="shared" si="7"/>
        <v>1359.1246241516053</v>
      </c>
    </row>
    <row r="28" spans="1:17">
      <c r="A28" s="383"/>
      <c r="B28" s="114"/>
      <c r="C28" s="30"/>
      <c r="D28" s="30"/>
      <c r="E28" s="3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>
      <c r="A29" s="36" t="s">
        <v>50</v>
      </c>
      <c r="B29" s="114">
        <f>'Sch AL-TOU TSM Summary'!B$29*Inputs!$C$13</f>
        <v>552.38685385214649</v>
      </c>
      <c r="C29" s="30">
        <f>'Sch AL-TOU TSM Summary'!C$29*Inputs!$C$13</f>
        <v>552.38685385214649</v>
      </c>
      <c r="D29" s="30"/>
      <c r="E29" s="30">
        <f>'Sch AL-TOU TSM Summary'!E$29*Inputs!$C$13</f>
        <v>552.38685385214649</v>
      </c>
      <c r="F29" s="114">
        <f>'Sch AL-TOU TSM Summary'!F$29*Inputs!$C$13</f>
        <v>144.32557543383598</v>
      </c>
      <c r="G29" s="30">
        <f>'Sch AL-TOU TSM Summary'!G$29*Inputs!$C$13</f>
        <v>144.32557543383598</v>
      </c>
      <c r="H29" s="30"/>
      <c r="I29" s="40">
        <f>'Sch AL-TOU TSM Summary'!I$29*Inputs!$C$13</f>
        <v>144.32557543383598</v>
      </c>
      <c r="J29" s="114"/>
      <c r="K29" s="30"/>
      <c r="L29" s="30"/>
      <c r="M29" s="40"/>
      <c r="N29" s="114">
        <f>'Sch AL-TOU TSM Summary'!N$29*Inputs!$C$13</f>
        <v>530.75816418333147</v>
      </c>
      <c r="O29" s="30">
        <f>'Sch AL-TOU TSM Summary'!O$29*Inputs!$C$13</f>
        <v>530.75816418333147</v>
      </c>
      <c r="P29" s="30"/>
      <c r="Q29" s="40">
        <f>'Sch AL-TOU TSM Summary'!Q$29*Inputs!$C$13</f>
        <v>530.75816418333147</v>
      </c>
    </row>
    <row r="30" spans="1:17" ht="15">
      <c r="A30" s="36" t="s">
        <v>379</v>
      </c>
      <c r="B30" s="552">
        <f>-Inputs!$C$18</f>
        <v>-3.0284021924274875</v>
      </c>
      <c r="C30" s="551">
        <f>-Inputs!$C$18</f>
        <v>-3.0284021924274875</v>
      </c>
      <c r="D30" s="551"/>
      <c r="E30" s="551">
        <f>-Inputs!$C$18</f>
        <v>-3.0284021924274875</v>
      </c>
      <c r="F30" s="552">
        <f>-Inputs!$C$18</f>
        <v>-3.0284021924274875</v>
      </c>
      <c r="G30" s="551">
        <f>-Inputs!$C$18</f>
        <v>-3.0284021924274875</v>
      </c>
      <c r="H30" s="551"/>
      <c r="I30" s="553">
        <f>-Inputs!$C$18</f>
        <v>-3.0284021924274875</v>
      </c>
      <c r="J30" s="552"/>
      <c r="K30" s="551"/>
      <c r="L30" s="551"/>
      <c r="M30" s="553"/>
      <c r="N30" s="552">
        <f>-Inputs!$C$18</f>
        <v>-3.0284021924274875</v>
      </c>
      <c r="O30" s="551">
        <f>-Inputs!$C$18</f>
        <v>-3.0284021924274875</v>
      </c>
      <c r="P30" s="551"/>
      <c r="Q30" s="553">
        <f>-Inputs!$C$18</f>
        <v>-3.0284021924274875</v>
      </c>
    </row>
    <row r="31" spans="1:17">
      <c r="A31" s="36" t="s">
        <v>377</v>
      </c>
      <c r="B31" s="114">
        <f>B29+B30</f>
        <v>549.35845165971898</v>
      </c>
      <c r="C31" s="30">
        <f>C29+C30</f>
        <v>549.35845165971898</v>
      </c>
      <c r="D31" s="30"/>
      <c r="E31" s="30">
        <f t="shared" ref="E31:Q31" si="8">E29+E30</f>
        <v>549.35845165971898</v>
      </c>
      <c r="F31" s="114">
        <f t="shared" si="8"/>
        <v>141.2971732414085</v>
      </c>
      <c r="G31" s="30">
        <f t="shared" si="8"/>
        <v>141.2971732414085</v>
      </c>
      <c r="H31" s="30"/>
      <c r="I31" s="40">
        <f t="shared" si="8"/>
        <v>141.2971732414085</v>
      </c>
      <c r="J31" s="114"/>
      <c r="K31" s="30"/>
      <c r="L31" s="30"/>
      <c r="M31" s="40"/>
      <c r="N31" s="114">
        <f t="shared" si="8"/>
        <v>527.72976199090397</v>
      </c>
      <c r="O31" s="30">
        <f t="shared" si="8"/>
        <v>527.72976199090397</v>
      </c>
      <c r="P31" s="30"/>
      <c r="Q31" s="40">
        <f t="shared" si="8"/>
        <v>527.72976199090397</v>
      </c>
    </row>
    <row r="32" spans="1:17">
      <c r="A32" s="118"/>
      <c r="B32" s="10"/>
      <c r="C32" s="27"/>
      <c r="D32" s="27"/>
      <c r="E32" s="27"/>
      <c r="F32" s="10"/>
      <c r="G32" s="27"/>
      <c r="H32" s="27"/>
      <c r="I32" s="81"/>
      <c r="J32" s="10"/>
      <c r="K32" s="27"/>
      <c r="L32" s="27"/>
      <c r="M32" s="81"/>
      <c r="N32" s="10"/>
      <c r="O32" s="27"/>
      <c r="P32" s="27"/>
      <c r="Q32" s="81"/>
    </row>
    <row r="33" spans="1:17">
      <c r="A33" s="117" t="s">
        <v>57</v>
      </c>
      <c r="B33" s="164">
        <f>'Sch AL-TOU TSM Summary'!B31*Inputs!$C$14</f>
        <v>481.55031066335573</v>
      </c>
      <c r="C33" s="165">
        <f>'Sch AL-TOU TSM Summary'!C31*Inputs!$C$14</f>
        <v>481.55031066335573</v>
      </c>
      <c r="D33" s="165"/>
      <c r="E33" s="165">
        <f>'Sch AL-TOU TSM Summary'!E31*Inputs!$C$14</f>
        <v>481.55031066335573</v>
      </c>
      <c r="F33" s="164">
        <f>'Sch AL-TOU TSM Summary'!F31*Inputs!$C$14</f>
        <v>481.55031066335573</v>
      </c>
      <c r="G33" s="165">
        <f>'Sch AL-TOU TSM Summary'!G31*Inputs!$C$14</f>
        <v>481.55031066335573</v>
      </c>
      <c r="H33" s="165"/>
      <c r="I33" s="293">
        <f>'Sch AL-TOU TSM Summary'!I31*Inputs!$C$14</f>
        <v>481.55031066335573</v>
      </c>
      <c r="J33" s="164"/>
      <c r="K33" s="165"/>
      <c r="L33" s="165"/>
      <c r="M33" s="293"/>
      <c r="N33" s="164">
        <f>'Sch AL-TOU TSM Summary'!N31*Inputs!$C$14</f>
        <v>481.55031066335573</v>
      </c>
      <c r="O33" s="165">
        <f>'Sch AL-TOU TSM Summary'!O31*Inputs!$C$14</f>
        <v>481.55031066335573</v>
      </c>
      <c r="P33" s="165"/>
      <c r="Q33" s="293">
        <f>'Sch AL-TOU TSM Summary'!Q31*Inputs!$C$14</f>
        <v>481.55031066335573</v>
      </c>
    </row>
    <row r="34" spans="1:17" ht="13.5" thickBot="1">
      <c r="A34" s="118"/>
      <c r="B34" s="114"/>
      <c r="C34" s="30"/>
      <c r="D34" s="30"/>
      <c r="E34" s="30"/>
      <c r="F34" s="116"/>
      <c r="G34" s="87"/>
      <c r="H34" s="87"/>
      <c r="I34" s="88"/>
      <c r="J34" s="116"/>
      <c r="K34" s="87"/>
      <c r="L34" s="87"/>
      <c r="M34" s="88"/>
      <c r="N34" s="116"/>
      <c r="O34" s="87"/>
      <c r="P34" s="87"/>
      <c r="Q34" s="88"/>
    </row>
    <row r="35" spans="1:17" ht="13.5" thickBot="1">
      <c r="A35" s="385" t="s">
        <v>133</v>
      </c>
      <c r="B35" s="282">
        <f t="shared" ref="B35:Q35" si="9">B27+B31+B33</f>
        <v>2396.4521041256521</v>
      </c>
      <c r="C35" s="283">
        <f t="shared" si="9"/>
        <v>4113.8723968019995</v>
      </c>
      <c r="D35" s="283"/>
      <c r="E35" s="294">
        <f t="shared" si="9"/>
        <v>2445.5822866275867</v>
      </c>
      <c r="F35" s="282">
        <f t="shared" si="9"/>
        <v>989.26258113216022</v>
      </c>
      <c r="G35" s="283">
        <f t="shared" si="9"/>
        <v>990.32387999738728</v>
      </c>
      <c r="H35" s="283"/>
      <c r="I35" s="294">
        <f t="shared" si="9"/>
        <v>989.49842532443301</v>
      </c>
      <c r="J35" s="282"/>
      <c r="K35" s="283"/>
      <c r="L35" s="283"/>
      <c r="M35" s="294"/>
      <c r="N35" s="282">
        <f t="shared" si="9"/>
        <v>2331.968649064519</v>
      </c>
      <c r="O35" s="283">
        <f t="shared" si="9"/>
        <v>3269.368786410063</v>
      </c>
      <c r="P35" s="283"/>
      <c r="Q35" s="294">
        <f t="shared" si="9"/>
        <v>2368.4046968058647</v>
      </c>
    </row>
    <row r="36" spans="1:17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8" spans="1:17">
      <c r="A38" t="s">
        <v>3</v>
      </c>
    </row>
    <row r="46" spans="1:17">
      <c r="A46" s="19"/>
    </row>
    <row r="58" spans="1:1">
      <c r="A58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43">
    <tabColor rgb="FFFFC000"/>
    <pageSetUpPr fitToPage="1"/>
  </sheetPr>
  <dimension ref="A1:I228"/>
  <sheetViews>
    <sheetView zoomScaleNormal="100" workbookViewId="0">
      <pane ySplit="3" topLeftCell="A28" activePane="bottomLeft" state="frozen"/>
      <selection activeCell="D15" sqref="D15"/>
      <selection pane="bottomLeft" activeCell="B49" sqref="B49:H51"/>
    </sheetView>
  </sheetViews>
  <sheetFormatPr defaultRowHeight="12.75"/>
  <cols>
    <col min="1" max="1" width="25" bestFit="1" customWidth="1"/>
    <col min="2" max="2" width="16" bestFit="1" customWidth="1"/>
    <col min="3" max="3" width="15.42578125" bestFit="1" customWidth="1"/>
    <col min="4" max="5" width="10.7109375" customWidth="1"/>
    <col min="6" max="7" width="10.5703125" customWidth="1"/>
    <col min="8" max="8" width="12" customWidth="1"/>
    <col min="9" max="9" width="13.140625" customWidth="1"/>
  </cols>
  <sheetData>
    <row r="1" spans="1:9" ht="18.75" thickBot="1">
      <c r="A1" s="756" t="s">
        <v>154</v>
      </c>
      <c r="B1" s="756"/>
      <c r="C1" s="756"/>
      <c r="D1" s="756"/>
      <c r="E1" s="756"/>
      <c r="F1" s="756"/>
      <c r="G1" s="756"/>
      <c r="H1" s="756"/>
    </row>
    <row r="2" spans="1:9" ht="13.5" thickBot="1">
      <c r="A2" s="103"/>
      <c r="B2" s="742" t="s">
        <v>0</v>
      </c>
      <c r="C2" s="743"/>
      <c r="D2" s="743"/>
      <c r="E2" s="743"/>
      <c r="F2" s="744"/>
      <c r="G2" s="233"/>
      <c r="H2" s="103"/>
    </row>
    <row r="3" spans="1:9" ht="13.5" thickBot="1">
      <c r="A3" s="77" t="s">
        <v>4</v>
      </c>
      <c r="B3" s="74" t="s">
        <v>121</v>
      </c>
      <c r="C3" s="26" t="s">
        <v>100</v>
      </c>
      <c r="D3" s="26" t="s">
        <v>33</v>
      </c>
      <c r="E3" s="26" t="s">
        <v>34</v>
      </c>
      <c r="F3" s="237" t="s">
        <v>216</v>
      </c>
      <c r="G3" s="236" t="s">
        <v>1</v>
      </c>
      <c r="H3" s="77" t="s">
        <v>2</v>
      </c>
    </row>
    <row r="4" spans="1:9">
      <c r="A4" s="5"/>
      <c r="B4" s="5" t="s">
        <v>45</v>
      </c>
      <c r="C4" s="6" t="s">
        <v>45</v>
      </c>
      <c r="D4" s="6" t="s">
        <v>45</v>
      </c>
      <c r="E4" s="6" t="s">
        <v>45</v>
      </c>
      <c r="F4" s="7" t="s">
        <v>45</v>
      </c>
      <c r="G4" s="6" t="s">
        <v>45</v>
      </c>
      <c r="H4" s="105" t="s">
        <v>45</v>
      </c>
    </row>
    <row r="5" spans="1:9">
      <c r="A5" s="104"/>
      <c r="B5" s="104"/>
      <c r="C5" s="8"/>
      <c r="D5" s="8"/>
      <c r="E5" s="8"/>
      <c r="F5" s="9"/>
      <c r="G5" s="8"/>
      <c r="H5" s="106"/>
    </row>
    <row r="6" spans="1:9">
      <c r="A6" s="21" t="s">
        <v>5</v>
      </c>
      <c r="B6" s="441"/>
      <c r="C6" s="442"/>
      <c r="D6" s="442"/>
      <c r="E6" s="442"/>
      <c r="F6" s="188"/>
      <c r="G6" s="441"/>
      <c r="H6" s="222"/>
    </row>
    <row r="7" spans="1:9">
      <c r="A7" s="20" t="s">
        <v>6</v>
      </c>
      <c r="B7" s="441"/>
      <c r="C7" s="442"/>
      <c r="D7" s="442"/>
      <c r="E7" s="442"/>
      <c r="F7" s="188"/>
      <c r="G7" s="441"/>
      <c r="H7" s="222"/>
    </row>
    <row r="8" spans="1:9">
      <c r="A8" s="22" t="s">
        <v>7</v>
      </c>
      <c r="B8" s="441"/>
      <c r="C8" s="442"/>
      <c r="D8" s="442"/>
      <c r="E8" s="442"/>
      <c r="F8" s="188"/>
      <c r="G8" s="441"/>
      <c r="H8" s="222"/>
    </row>
    <row r="9" spans="1:9">
      <c r="A9" s="22" t="s">
        <v>110</v>
      </c>
      <c r="B9" s="441">
        <v>0</v>
      </c>
      <c r="C9" s="442">
        <v>0</v>
      </c>
      <c r="D9" s="442">
        <v>1</v>
      </c>
      <c r="E9" s="442">
        <v>0</v>
      </c>
      <c r="F9" s="188">
        <f t="shared" ref="F9:F22" si="0">SUM(B9:E9)</f>
        <v>1</v>
      </c>
      <c r="G9" s="442">
        <v>0</v>
      </c>
      <c r="H9" s="222">
        <f t="shared" ref="H9:H24" si="1">F9+G9</f>
        <v>1</v>
      </c>
    </row>
    <row r="10" spans="1:9">
      <c r="A10" s="22" t="s">
        <v>102</v>
      </c>
      <c r="B10" s="441"/>
      <c r="C10" s="442"/>
      <c r="D10" s="442"/>
      <c r="E10" s="442"/>
      <c r="F10" s="188"/>
      <c r="G10" s="442"/>
      <c r="H10" s="222"/>
    </row>
    <row r="11" spans="1:9">
      <c r="A11" s="22" t="s">
        <v>8</v>
      </c>
      <c r="B11" s="441">
        <v>1</v>
      </c>
      <c r="C11" s="442">
        <v>0</v>
      </c>
      <c r="D11" s="442">
        <v>3</v>
      </c>
      <c r="E11" s="442">
        <v>0</v>
      </c>
      <c r="F11" s="188">
        <f t="shared" si="0"/>
        <v>4</v>
      </c>
      <c r="G11" s="442">
        <v>0</v>
      </c>
      <c r="H11" s="222">
        <f t="shared" si="1"/>
        <v>4</v>
      </c>
    </row>
    <row r="12" spans="1:9">
      <c r="A12" s="22" t="s">
        <v>9</v>
      </c>
      <c r="B12" s="441">
        <v>1</v>
      </c>
      <c r="C12" s="442">
        <v>0</v>
      </c>
      <c r="D12" s="442">
        <v>4</v>
      </c>
      <c r="E12" s="442">
        <v>0</v>
      </c>
      <c r="F12" s="188">
        <f t="shared" si="0"/>
        <v>5</v>
      </c>
      <c r="G12" s="442">
        <v>0</v>
      </c>
      <c r="H12" s="222">
        <f t="shared" si="1"/>
        <v>5</v>
      </c>
      <c r="I12" s="178"/>
    </row>
    <row r="13" spans="1:9">
      <c r="A13" s="22" t="s">
        <v>10</v>
      </c>
      <c r="B13" s="441"/>
      <c r="C13" s="442">
        <v>0</v>
      </c>
      <c r="D13" s="442">
        <v>5</v>
      </c>
      <c r="E13" s="442">
        <v>5</v>
      </c>
      <c r="F13" s="188">
        <f t="shared" si="0"/>
        <v>10</v>
      </c>
      <c r="G13" s="442">
        <v>0</v>
      </c>
      <c r="H13" s="222">
        <f t="shared" si="1"/>
        <v>10</v>
      </c>
    </row>
    <row r="14" spans="1:9">
      <c r="A14" s="22" t="s">
        <v>11</v>
      </c>
      <c r="B14" s="441"/>
      <c r="C14" s="442">
        <v>1</v>
      </c>
      <c r="D14" s="442">
        <v>3</v>
      </c>
      <c r="E14" s="442">
        <v>15</v>
      </c>
      <c r="F14" s="188">
        <f t="shared" si="0"/>
        <v>19</v>
      </c>
      <c r="G14" s="442">
        <v>2</v>
      </c>
      <c r="H14" s="222">
        <f t="shared" si="1"/>
        <v>21</v>
      </c>
      <c r="I14" s="178"/>
    </row>
    <row r="15" spans="1:9">
      <c r="A15" s="22" t="s">
        <v>106</v>
      </c>
      <c r="B15" s="441"/>
      <c r="C15" s="442"/>
      <c r="D15" s="442">
        <v>6</v>
      </c>
      <c r="E15" s="442">
        <v>11</v>
      </c>
      <c r="F15" s="188">
        <f t="shared" si="0"/>
        <v>17</v>
      </c>
      <c r="G15" s="442">
        <v>1</v>
      </c>
      <c r="H15" s="222">
        <f t="shared" si="1"/>
        <v>18</v>
      </c>
    </row>
    <row r="16" spans="1:9">
      <c r="A16" s="22" t="s">
        <v>107</v>
      </c>
      <c r="B16" s="441"/>
      <c r="C16" s="442"/>
      <c r="D16" s="442">
        <v>1</v>
      </c>
      <c r="E16" s="442">
        <v>15</v>
      </c>
      <c r="F16" s="188">
        <f t="shared" si="0"/>
        <v>16</v>
      </c>
      <c r="G16" s="442">
        <v>0</v>
      </c>
      <c r="H16" s="222">
        <f t="shared" si="1"/>
        <v>16</v>
      </c>
    </row>
    <row r="17" spans="1:8">
      <c r="A17" s="22" t="s">
        <v>12</v>
      </c>
      <c r="B17" s="441"/>
      <c r="C17" s="442"/>
      <c r="D17" s="442">
        <v>2</v>
      </c>
      <c r="E17" s="442">
        <v>14</v>
      </c>
      <c r="F17" s="188">
        <f t="shared" si="0"/>
        <v>16</v>
      </c>
      <c r="G17" s="442">
        <v>3</v>
      </c>
      <c r="H17" s="222">
        <f t="shared" si="1"/>
        <v>19</v>
      </c>
    </row>
    <row r="18" spans="1:8">
      <c r="A18" s="22" t="s">
        <v>13</v>
      </c>
      <c r="B18" s="441"/>
      <c r="C18" s="442"/>
      <c r="D18" s="442"/>
      <c r="E18" s="442">
        <v>8</v>
      </c>
      <c r="F18" s="188">
        <f t="shared" si="0"/>
        <v>8</v>
      </c>
      <c r="G18" s="442">
        <v>0</v>
      </c>
      <c r="H18" s="222">
        <f t="shared" si="1"/>
        <v>8</v>
      </c>
    </row>
    <row r="19" spans="1:8">
      <c r="A19" s="22" t="s">
        <v>108</v>
      </c>
      <c r="B19" s="441"/>
      <c r="C19" s="442"/>
      <c r="D19" s="442"/>
      <c r="E19" s="442">
        <v>3</v>
      </c>
      <c r="F19" s="188">
        <f t="shared" si="0"/>
        <v>3</v>
      </c>
      <c r="G19" s="442">
        <v>1</v>
      </c>
      <c r="H19" s="222">
        <f t="shared" si="1"/>
        <v>4</v>
      </c>
    </row>
    <row r="20" spans="1:8" s="52" customFormat="1">
      <c r="A20" s="22" t="s">
        <v>109</v>
      </c>
      <c r="B20" s="441"/>
      <c r="C20" s="442"/>
      <c r="D20" s="442"/>
      <c r="E20" s="442">
        <v>1</v>
      </c>
      <c r="F20" s="188">
        <f t="shared" si="0"/>
        <v>1</v>
      </c>
      <c r="G20" s="442">
        <v>0</v>
      </c>
      <c r="H20" s="222">
        <f t="shared" si="1"/>
        <v>1</v>
      </c>
    </row>
    <row r="21" spans="1:8">
      <c r="A21" s="22" t="s">
        <v>14</v>
      </c>
      <c r="B21" s="441"/>
      <c r="C21" s="442"/>
      <c r="D21" s="442"/>
      <c r="E21" s="442">
        <v>1</v>
      </c>
      <c r="F21" s="188">
        <f t="shared" si="0"/>
        <v>1</v>
      </c>
      <c r="G21" s="442">
        <v>3</v>
      </c>
      <c r="H21" s="222">
        <f t="shared" si="1"/>
        <v>4</v>
      </c>
    </row>
    <row r="22" spans="1:8">
      <c r="A22" s="22" t="s">
        <v>15</v>
      </c>
      <c r="B22" s="441"/>
      <c r="C22" s="442"/>
      <c r="D22" s="442"/>
      <c r="E22" s="442">
        <v>1</v>
      </c>
      <c r="F22" s="188">
        <f t="shared" si="0"/>
        <v>1</v>
      </c>
      <c r="G22" s="442">
        <v>2</v>
      </c>
      <c r="H22" s="222">
        <f t="shared" si="1"/>
        <v>3</v>
      </c>
    </row>
    <row r="23" spans="1:8">
      <c r="A23" s="21" t="s">
        <v>16</v>
      </c>
      <c r="B23" s="441"/>
      <c r="C23" s="442"/>
      <c r="D23" s="442"/>
      <c r="E23" s="442"/>
      <c r="F23" s="188"/>
      <c r="G23" s="442"/>
      <c r="H23" s="222"/>
    </row>
    <row r="24" spans="1:8">
      <c r="A24" s="22" t="s">
        <v>17</v>
      </c>
      <c r="B24" s="441"/>
      <c r="C24" s="442"/>
      <c r="D24" s="442"/>
      <c r="E24" s="442"/>
      <c r="F24" s="188"/>
      <c r="G24" s="442">
        <v>1</v>
      </c>
      <c r="H24" s="222">
        <f t="shared" si="1"/>
        <v>1</v>
      </c>
    </row>
    <row r="25" spans="1:8">
      <c r="A25" s="22" t="s">
        <v>18</v>
      </c>
      <c r="B25" s="441"/>
      <c r="C25" s="442"/>
      <c r="D25" s="442"/>
      <c r="E25" s="442"/>
      <c r="F25" s="188"/>
      <c r="G25" s="442"/>
      <c r="H25" s="222"/>
    </row>
    <row r="26" spans="1:8">
      <c r="A26" s="22" t="s">
        <v>19</v>
      </c>
      <c r="B26" s="441"/>
      <c r="C26" s="442"/>
      <c r="D26" s="442"/>
      <c r="E26" s="442"/>
      <c r="F26" s="188"/>
      <c r="G26" s="442"/>
      <c r="H26" s="222"/>
    </row>
    <row r="27" spans="1:8">
      <c r="A27" s="22" t="s">
        <v>20</v>
      </c>
      <c r="B27" s="441"/>
      <c r="C27" s="442"/>
      <c r="D27" s="442"/>
      <c r="E27" s="442"/>
      <c r="F27" s="188"/>
      <c r="G27" s="441"/>
      <c r="H27" s="222"/>
    </row>
    <row r="28" spans="1:8">
      <c r="A28" s="22" t="s">
        <v>21</v>
      </c>
      <c r="B28" s="186"/>
      <c r="C28" s="187"/>
      <c r="D28" s="187"/>
      <c r="E28" s="187"/>
      <c r="F28" s="188"/>
      <c r="G28" s="188"/>
      <c r="H28" s="222"/>
    </row>
    <row r="29" spans="1:8">
      <c r="A29" s="22" t="s">
        <v>22</v>
      </c>
      <c r="B29" s="186"/>
      <c r="C29" s="187"/>
      <c r="D29" s="187"/>
      <c r="E29" s="187"/>
      <c r="F29" s="212"/>
      <c r="G29" s="212"/>
      <c r="H29" s="189"/>
    </row>
    <row r="30" spans="1:8">
      <c r="A30" s="22" t="s">
        <v>23</v>
      </c>
      <c r="B30" s="186"/>
      <c r="C30" s="187"/>
      <c r="D30" s="187"/>
      <c r="E30" s="187"/>
      <c r="F30" s="212"/>
      <c r="G30" s="212"/>
      <c r="H30" s="189"/>
    </row>
    <row r="31" spans="1:8">
      <c r="A31" s="22" t="s">
        <v>24</v>
      </c>
      <c r="B31" s="186"/>
      <c r="C31" s="187"/>
      <c r="D31" s="187"/>
      <c r="E31" s="187"/>
      <c r="F31" s="212"/>
      <c r="G31" s="212"/>
      <c r="H31" s="189"/>
    </row>
    <row r="32" spans="1:8">
      <c r="A32" s="21" t="s">
        <v>25</v>
      </c>
      <c r="B32" s="186"/>
      <c r="C32" s="187"/>
      <c r="D32" s="187"/>
      <c r="E32" s="187"/>
      <c r="F32" s="212"/>
      <c r="G32" s="212"/>
      <c r="H32" s="189"/>
    </row>
    <row r="33" spans="1:8">
      <c r="A33" s="21" t="s">
        <v>111</v>
      </c>
      <c r="B33" s="186"/>
      <c r="C33" s="187"/>
      <c r="D33" s="187"/>
      <c r="E33" s="187"/>
      <c r="F33" s="212"/>
      <c r="G33" s="212"/>
      <c r="H33" s="189"/>
    </row>
    <row r="34" spans="1:8">
      <c r="A34" s="21" t="s">
        <v>112</v>
      </c>
      <c r="B34" s="186"/>
      <c r="C34" s="187"/>
      <c r="D34" s="187"/>
      <c r="E34" s="187"/>
      <c r="F34" s="212"/>
      <c r="G34" s="212"/>
      <c r="H34" s="189"/>
    </row>
    <row r="35" spans="1:8">
      <c r="A35" s="21" t="s">
        <v>26</v>
      </c>
      <c r="B35" s="186"/>
      <c r="C35" s="187"/>
      <c r="D35" s="187"/>
      <c r="E35" s="187"/>
      <c r="F35" s="212"/>
      <c r="G35" s="212"/>
      <c r="H35" s="189"/>
    </row>
    <row r="36" spans="1:8">
      <c r="A36" s="21" t="s">
        <v>27</v>
      </c>
      <c r="B36" s="186"/>
      <c r="C36" s="187"/>
      <c r="D36" s="187"/>
      <c r="E36" s="187"/>
      <c r="F36" s="212"/>
      <c r="G36" s="212"/>
      <c r="H36" s="189"/>
    </row>
    <row r="37" spans="1:8" ht="13.5" thickBot="1">
      <c r="A37" s="21"/>
      <c r="B37" s="208"/>
      <c r="C37" s="209"/>
      <c r="D37" s="209"/>
      <c r="E37" s="209"/>
      <c r="F37" s="213"/>
      <c r="G37" s="213"/>
      <c r="H37" s="230"/>
    </row>
    <row r="38" spans="1:8" ht="13.5" thickBot="1">
      <c r="A38" s="181" t="s">
        <v>2</v>
      </c>
      <c r="B38" s="354">
        <f t="shared" ref="B38:H38" si="2">SUM(B6:B37)</f>
        <v>2</v>
      </c>
      <c r="C38" s="354">
        <f t="shared" si="2"/>
        <v>1</v>
      </c>
      <c r="D38" s="354">
        <f t="shared" si="2"/>
        <v>25</v>
      </c>
      <c r="E38" s="354">
        <f t="shared" si="2"/>
        <v>74</v>
      </c>
      <c r="F38" s="364">
        <f t="shared" si="2"/>
        <v>102</v>
      </c>
      <c r="G38" s="364">
        <f t="shared" si="2"/>
        <v>13</v>
      </c>
      <c r="H38" s="353">
        <f t="shared" si="2"/>
        <v>115</v>
      </c>
    </row>
    <row r="39" spans="1:8">
      <c r="A39" s="124" t="s">
        <v>149</v>
      </c>
      <c r="B39" s="356">
        <f t="shared" ref="B39:H39" si="3">SUM(B6:B19)</f>
        <v>2</v>
      </c>
      <c r="C39" s="356">
        <f t="shared" si="3"/>
        <v>1</v>
      </c>
      <c r="D39" s="356">
        <f t="shared" si="3"/>
        <v>25</v>
      </c>
      <c r="E39" s="356">
        <f t="shared" si="3"/>
        <v>71</v>
      </c>
      <c r="F39" s="356">
        <f t="shared" si="3"/>
        <v>99</v>
      </c>
      <c r="G39" s="358">
        <f t="shared" si="3"/>
        <v>7</v>
      </c>
      <c r="H39" s="358">
        <f t="shared" si="3"/>
        <v>106</v>
      </c>
    </row>
    <row r="40" spans="1:8">
      <c r="A40" s="124" t="s">
        <v>124</v>
      </c>
      <c r="B40" s="356">
        <f t="shared" ref="B40" si="4">SUM(B20:B33)</f>
        <v>0</v>
      </c>
      <c r="C40" s="356">
        <f t="shared" ref="C40:H40" si="5">SUM(C20:C33)</f>
        <v>0</v>
      </c>
      <c r="D40" s="356">
        <f t="shared" si="5"/>
        <v>0</v>
      </c>
      <c r="E40" s="356">
        <f t="shared" si="5"/>
        <v>3</v>
      </c>
      <c r="F40" s="356">
        <f t="shared" si="5"/>
        <v>3</v>
      </c>
      <c r="G40" s="358">
        <f t="shared" si="5"/>
        <v>6</v>
      </c>
      <c r="H40" s="358">
        <f t="shared" si="5"/>
        <v>9</v>
      </c>
    </row>
    <row r="41" spans="1:8" ht="13.5" thickBot="1">
      <c r="A41" s="179" t="s">
        <v>88</v>
      </c>
      <c r="B41" s="360">
        <f t="shared" ref="B41" si="6">SUM(B34:B36)</f>
        <v>0</v>
      </c>
      <c r="C41" s="360">
        <f t="shared" ref="C41:H41" si="7">SUM(C34:C36)</f>
        <v>0</v>
      </c>
      <c r="D41" s="360">
        <f t="shared" si="7"/>
        <v>0</v>
      </c>
      <c r="E41" s="360">
        <f t="shared" si="7"/>
        <v>0</v>
      </c>
      <c r="F41" s="360">
        <f t="shared" si="7"/>
        <v>0</v>
      </c>
      <c r="G41" s="362">
        <f t="shared" si="7"/>
        <v>0</v>
      </c>
      <c r="H41" s="362">
        <f t="shared" si="7"/>
        <v>0</v>
      </c>
    </row>
    <row r="42" spans="1:8">
      <c r="A42" s="121"/>
      <c r="B42" s="244"/>
      <c r="C42" s="244"/>
      <c r="D42" s="244"/>
      <c r="E42" s="244"/>
      <c r="F42" s="244"/>
      <c r="G42" s="244"/>
      <c r="H42" s="420"/>
    </row>
    <row r="43" spans="1:8">
      <c r="A43" s="29" t="s">
        <v>307</v>
      </c>
      <c r="B43" s="12"/>
      <c r="C43" s="12"/>
      <c r="D43" s="12"/>
      <c r="E43" s="12"/>
      <c r="F43" s="12"/>
      <c r="G43" s="12"/>
      <c r="H43" s="76"/>
    </row>
    <row r="44" spans="1:8">
      <c r="A44" s="29"/>
      <c r="B44" s="421" t="s">
        <v>402</v>
      </c>
      <c r="C44" s="12"/>
      <c r="D44" s="12"/>
      <c r="E44" s="12"/>
      <c r="F44" s="12"/>
      <c r="G44" s="12"/>
      <c r="H44" s="76"/>
    </row>
    <row r="45" spans="1:8" ht="13.5" thickBot="1">
      <c r="A45" s="72"/>
      <c r="B45" s="438" t="s">
        <v>306</v>
      </c>
      <c r="C45" s="28"/>
      <c r="D45" s="28"/>
      <c r="E45" s="28"/>
      <c r="F45" s="28"/>
      <c r="G45" s="28"/>
      <c r="H45" s="80"/>
    </row>
    <row r="46" spans="1:8">
      <c r="A46" s="120"/>
    </row>
    <row r="47" spans="1:8">
      <c r="A47" s="264" t="s">
        <v>91</v>
      </c>
      <c r="B47" s="18">
        <f>SUM(B39:B41)-B38</f>
        <v>0</v>
      </c>
      <c r="C47" s="18">
        <f t="shared" ref="C47:H47" si="8">SUM(C39:C41)-C38</f>
        <v>0</v>
      </c>
      <c r="D47" s="18">
        <f t="shared" si="8"/>
        <v>0</v>
      </c>
      <c r="E47" s="18">
        <f t="shared" si="8"/>
        <v>0</v>
      </c>
      <c r="F47" s="18">
        <f t="shared" si="8"/>
        <v>0</v>
      </c>
      <c r="G47" s="18">
        <f t="shared" si="8"/>
        <v>0</v>
      </c>
      <c r="H47" s="18">
        <f t="shared" si="8"/>
        <v>0</v>
      </c>
    </row>
    <row r="48" spans="1:8">
      <c r="A48" s="21"/>
    </row>
    <row r="49" spans="1:8">
      <c r="A49" s="21"/>
    </row>
    <row r="50" spans="1:8">
      <c r="A50" s="21"/>
    </row>
    <row r="51" spans="1:8">
      <c r="A51" s="21"/>
      <c r="B51" s="550"/>
      <c r="C51" s="550"/>
      <c r="D51" s="550"/>
      <c r="E51" s="550"/>
      <c r="F51" s="550"/>
      <c r="G51" s="550"/>
      <c r="H51" s="550"/>
    </row>
    <row r="52" spans="1:8">
      <c r="A52" s="21"/>
    </row>
    <row r="53" spans="1:8">
      <c r="A53" s="21"/>
    </row>
    <row r="54" spans="1:8">
      <c r="A54" s="21"/>
    </row>
    <row r="55" spans="1:8">
      <c r="A55" s="21"/>
    </row>
    <row r="56" spans="1:8">
      <c r="A56" s="21"/>
    </row>
    <row r="57" spans="1:8">
      <c r="A57" s="21"/>
    </row>
    <row r="58" spans="1:8">
      <c r="A58" s="21"/>
    </row>
    <row r="59" spans="1:8">
      <c r="A59" s="21"/>
    </row>
    <row r="60" spans="1:8">
      <c r="A60" s="21"/>
    </row>
    <row r="61" spans="1:8">
      <c r="A61" s="21"/>
    </row>
    <row r="62" spans="1:8">
      <c r="A62" s="21"/>
    </row>
    <row r="63" spans="1:8">
      <c r="A63" s="21"/>
    </row>
    <row r="64" spans="1:8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</sheetData>
  <mergeCells count="2">
    <mergeCell ref="A1:H1"/>
    <mergeCell ref="B2:F2"/>
  </mergeCells>
  <phoneticPr fontId="0" type="noConversion"/>
  <printOptions horizontalCentered="1"/>
  <pageMargins left="0.75" right="0.75" top="1" bottom="1" header="0.5" footer="0.5"/>
  <pageSetup scale="82" orientation="portrait" r:id="rId1"/>
  <headerFooter alignWithMargins="0">
    <oddFooter>&amp;L&amp;F
&amp;A&amp;R&amp;P of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Sheet44">
    <tabColor rgb="FFFFC000"/>
  </sheetPr>
  <dimension ref="A1:AC60"/>
  <sheetViews>
    <sheetView topLeftCell="M9" zoomScaleNormal="100" workbookViewId="0">
      <selection activeCell="X7" sqref="X7"/>
    </sheetView>
  </sheetViews>
  <sheetFormatPr defaultRowHeight="12.75"/>
  <cols>
    <col min="1" max="1" width="32.7109375" customWidth="1"/>
    <col min="2" max="2" width="12.5703125" bestFit="1" customWidth="1"/>
    <col min="3" max="5" width="11.5703125" customWidth="1"/>
    <col min="6" max="6" width="12.85546875" bestFit="1" customWidth="1"/>
    <col min="7" max="8" width="11.5703125" customWidth="1"/>
    <col min="9" max="9" width="11.42578125" customWidth="1"/>
    <col min="10" max="10" width="12.85546875" bestFit="1" customWidth="1"/>
    <col min="11" max="12" width="10.140625" customWidth="1"/>
    <col min="13" max="13" width="11.7109375" customWidth="1"/>
    <col min="14" max="14" width="12.85546875" bestFit="1" customWidth="1"/>
    <col min="15" max="16" width="11.28515625" bestFit="1" customWidth="1"/>
    <col min="17" max="21" width="12.5703125" customWidth="1"/>
    <col min="22" max="22" width="12.85546875" bestFit="1" customWidth="1"/>
    <col min="23" max="24" width="11.42578125" customWidth="1"/>
    <col min="25" max="25" width="13" customWidth="1"/>
    <col min="26" max="26" width="12.85546875" bestFit="1" customWidth="1"/>
    <col min="27" max="28" width="11.28515625" bestFit="1" customWidth="1"/>
    <col min="29" max="29" width="10.28515625" bestFit="1" customWidth="1"/>
  </cols>
  <sheetData>
    <row r="1" spans="1:29" ht="18.75" thickBot="1">
      <c r="A1" s="756" t="s">
        <v>155</v>
      </c>
      <c r="B1" s="756"/>
      <c r="C1" s="756"/>
      <c r="D1" s="756"/>
      <c r="E1" s="756"/>
      <c r="F1" s="756"/>
      <c r="G1" s="756"/>
      <c r="H1" s="756"/>
      <c r="I1" s="756"/>
      <c r="J1" s="756"/>
      <c r="K1" s="756"/>
      <c r="L1" s="756"/>
      <c r="M1" s="756"/>
      <c r="N1" s="756"/>
      <c r="O1" s="756"/>
      <c r="P1" s="756"/>
      <c r="Q1" s="756"/>
      <c r="R1" s="756"/>
      <c r="S1" s="756"/>
      <c r="T1" s="756"/>
      <c r="U1" s="756"/>
      <c r="V1" s="756"/>
      <c r="W1" s="756"/>
      <c r="X1" s="756"/>
      <c r="Y1" s="756"/>
    </row>
    <row r="2" spans="1:29" ht="13.5" thickBot="1">
      <c r="A2" s="232"/>
      <c r="B2" s="574"/>
      <c r="C2" s="572"/>
      <c r="D2" s="572"/>
      <c r="E2" s="573"/>
      <c r="F2" s="749" t="s">
        <v>117</v>
      </c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50"/>
      <c r="S2" s="750"/>
      <c r="T2" s="750"/>
      <c r="U2" s="752"/>
      <c r="V2" s="749" t="s">
        <v>118</v>
      </c>
      <c r="W2" s="750"/>
      <c r="X2" s="750"/>
      <c r="Y2" s="752"/>
      <c r="Z2" s="749" t="s">
        <v>209</v>
      </c>
      <c r="AA2" s="750"/>
      <c r="AB2" s="750"/>
      <c r="AC2" s="752"/>
    </row>
    <row r="3" spans="1:29">
      <c r="A3" s="55"/>
      <c r="B3" s="757" t="s">
        <v>100</v>
      </c>
      <c r="C3" s="758"/>
      <c r="D3" s="758"/>
      <c r="E3" s="759"/>
      <c r="F3" s="757" t="s">
        <v>100</v>
      </c>
      <c r="G3" s="758"/>
      <c r="H3" s="758"/>
      <c r="I3" s="759"/>
      <c r="J3" s="758" t="s">
        <v>33</v>
      </c>
      <c r="K3" s="758"/>
      <c r="L3" s="758"/>
      <c r="M3" s="759"/>
      <c r="N3" s="751" t="s">
        <v>34</v>
      </c>
      <c r="O3" s="758"/>
      <c r="P3" s="758"/>
      <c r="Q3" s="759"/>
      <c r="R3" s="751" t="s">
        <v>123</v>
      </c>
      <c r="S3" s="758"/>
      <c r="T3" s="758"/>
      <c r="U3" s="759"/>
      <c r="V3" s="762"/>
      <c r="W3" s="762"/>
      <c r="X3" s="762"/>
      <c r="Y3" s="763"/>
      <c r="Z3" s="761"/>
      <c r="AA3" s="762"/>
      <c r="AB3" s="762"/>
      <c r="AC3" s="763"/>
    </row>
    <row r="4" spans="1:29" ht="13.5" thickBot="1">
      <c r="A4" s="235" t="s">
        <v>4</v>
      </c>
      <c r="B4" s="575" t="s">
        <v>36</v>
      </c>
      <c r="C4" s="576" t="s">
        <v>37</v>
      </c>
      <c r="D4" s="576" t="s">
        <v>38</v>
      </c>
      <c r="E4" s="577" t="s">
        <v>41</v>
      </c>
      <c r="F4" s="235" t="s">
        <v>36</v>
      </c>
      <c r="G4" s="236" t="s">
        <v>37</v>
      </c>
      <c r="H4" s="236" t="s">
        <v>38</v>
      </c>
      <c r="I4" s="237" t="s">
        <v>41</v>
      </c>
      <c r="J4" s="236" t="s">
        <v>36</v>
      </c>
      <c r="K4" s="236" t="s">
        <v>37</v>
      </c>
      <c r="L4" s="236" t="s">
        <v>38</v>
      </c>
      <c r="M4" s="237" t="s">
        <v>41</v>
      </c>
      <c r="N4" s="235" t="s">
        <v>36</v>
      </c>
      <c r="O4" s="236" t="s">
        <v>37</v>
      </c>
      <c r="P4" s="236" t="s">
        <v>38</v>
      </c>
      <c r="Q4" s="237" t="s">
        <v>41</v>
      </c>
      <c r="R4" s="235" t="s">
        <v>36</v>
      </c>
      <c r="S4" s="236" t="s">
        <v>37</v>
      </c>
      <c r="T4" s="236" t="s">
        <v>38</v>
      </c>
      <c r="U4" s="237" t="s">
        <v>41</v>
      </c>
      <c r="V4" s="236" t="s">
        <v>36</v>
      </c>
      <c r="W4" s="236" t="s">
        <v>37</v>
      </c>
      <c r="X4" s="236" t="s">
        <v>38</v>
      </c>
      <c r="Y4" s="237" t="s">
        <v>41</v>
      </c>
      <c r="Z4" s="235" t="s">
        <v>36</v>
      </c>
      <c r="AA4" s="236" t="s">
        <v>37</v>
      </c>
      <c r="AB4" s="236" t="s">
        <v>38</v>
      </c>
      <c r="AC4" s="237" t="s">
        <v>41</v>
      </c>
    </row>
    <row r="5" spans="1:29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</row>
    <row r="6" spans="1:29">
      <c r="A6" s="10"/>
      <c r="B6" s="10"/>
      <c r="C6" s="27"/>
      <c r="D6" s="27"/>
      <c r="E6" s="81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8"/>
      <c r="W6" s="8"/>
      <c r="X6" s="8"/>
      <c r="Y6" s="9"/>
      <c r="Z6" s="8"/>
      <c r="AA6" s="8"/>
      <c r="AB6" s="8"/>
      <c r="AC6" s="9"/>
    </row>
    <row r="7" spans="1:29">
      <c r="A7" s="124" t="s">
        <v>5</v>
      </c>
      <c r="B7" s="109">
        <f>'Sch DG-R Cust Fcst'!$B6*'Non-Residential TSM UC Adj'!B7</f>
        <v>0</v>
      </c>
      <c r="C7" s="23">
        <f>'Sch DG-R Cust Fcst'!$B6*'Non-Residential TSM UC Adj'!C7</f>
        <v>0</v>
      </c>
      <c r="D7" s="23">
        <f>'Sch DG-R Cust Fcst'!$B6*'Non-Residential TSM UC Adj'!D7</f>
        <v>0</v>
      </c>
      <c r="E7" s="41">
        <f>IF(SUM(B7:D7)=0,0,SUM(B7:D7)/'Sch DG-R Cust Fcst'!B6)</f>
        <v>0</v>
      </c>
      <c r="F7" s="109">
        <f>'Sch DG-R Cust Fcst'!$C6*'Non-Residential TSM UC Adj'!F7</f>
        <v>0</v>
      </c>
      <c r="G7" s="23">
        <f>'Sch DG-R Cust Fcst'!$C6*'Non-Residential TSM UC Adj'!G7</f>
        <v>0</v>
      </c>
      <c r="H7" s="23">
        <f>'Sch DG-R Cust Fcst'!$C6*'Non-Residential TSM UC Adj'!H7</f>
        <v>0</v>
      </c>
      <c r="I7" s="41">
        <f>IF(SUM(F7:H7)=0,0,SUM(F7:H7)/'Sch DG-R Cust Fcst'!C6)</f>
        <v>0</v>
      </c>
      <c r="J7" s="109">
        <f>'Sch DG-R Cust Fcst'!$D6*'Non-Residential TSM UC Adj'!J7</f>
        <v>0</v>
      </c>
      <c r="K7" s="23">
        <f>'Sch DG-R Cust Fcst'!$D6*'Non-Residential TSM UC Adj'!K7</f>
        <v>0</v>
      </c>
      <c r="L7" s="23">
        <f>'Sch DG-R Cust Fcst'!$D6*'Non-Residential TSM UC Adj'!L7</f>
        <v>0</v>
      </c>
      <c r="M7" s="41">
        <f>IF(SUM(J7:L7)=0,0,SUM(J7:L7)/'Sch DG-R Cust Fcst'!D6)</f>
        <v>0</v>
      </c>
      <c r="N7" s="109">
        <f>'Sch DG-R Cust Fcst'!$E6*'Non-Residential TSM UC Adj'!N7</f>
        <v>0</v>
      </c>
      <c r="O7" s="23">
        <f>'Sch DG-R Cust Fcst'!$E6*'Non-Residential TSM UC Adj'!O7</f>
        <v>0</v>
      </c>
      <c r="P7" s="23">
        <f>'Sch DG-R Cust Fcst'!$E6*'Non-Residential TSM UC Adj'!P7</f>
        <v>0</v>
      </c>
      <c r="Q7" s="41">
        <f>IF(SUM(N7:P7)=0,0,SUM(N7:P7)/'Sch DG-R Cust Fcst'!E6)</f>
        <v>0</v>
      </c>
      <c r="R7" s="109">
        <f>B7+F7+J7+N7</f>
        <v>0</v>
      </c>
      <c r="S7" s="23">
        <f>C7+G7+K7+O7</f>
        <v>0</v>
      </c>
      <c r="T7" s="23">
        <f>D7+H7+L7+P7</f>
        <v>0</v>
      </c>
      <c r="U7" s="41">
        <f>IF(SUM(R7:T7)=0,0,SUM(R7:T7)/'Sch DG-R Cust Fcst'!F6)</f>
        <v>0</v>
      </c>
      <c r="V7" s="33">
        <f>'Sch DG-R Cust Fcst'!$G6*'Non-Residential TSM UC Adj'!R7</f>
        <v>0</v>
      </c>
      <c r="W7" s="33">
        <f>'Sch DG-R Cust Fcst'!$G6*'Non-Residential TSM UC Adj'!S7</f>
        <v>0</v>
      </c>
      <c r="X7" s="33">
        <f>'Sch DG-R Cust Fcst'!$G6*'Non-Residential TSM UC Adj'!T7</f>
        <v>0</v>
      </c>
      <c r="Y7" s="41">
        <f>IF(SUM(V7:X7)=0,0,SUM(V7:X7)/'Sch DG-R Cust Fcst'!G6)</f>
        <v>0</v>
      </c>
      <c r="Z7" s="23">
        <f>R7+V7</f>
        <v>0</v>
      </c>
      <c r="AA7" s="23">
        <f t="shared" ref="AA7:AB22" si="0">S7+W7</f>
        <v>0</v>
      </c>
      <c r="AB7" s="23">
        <f t="shared" si="0"/>
        <v>0</v>
      </c>
      <c r="AC7" s="41">
        <f>IF(SUM(Z7:AB7)=0,0,SUM(Z7:AB7)/'Sch DG-R Cust Fcst'!H6)</f>
        <v>0</v>
      </c>
    </row>
    <row r="8" spans="1:29">
      <c r="A8" s="125" t="s">
        <v>6</v>
      </c>
      <c r="B8" s="109">
        <f>'Sch DG-R Cust Fcst'!$B7*'Non-Residential TSM UC Adj'!B8</f>
        <v>0</v>
      </c>
      <c r="C8" s="23">
        <f>'Sch DG-R Cust Fcst'!$B7*'Non-Residential TSM UC Adj'!C8</f>
        <v>0</v>
      </c>
      <c r="D8" s="23">
        <f>'Sch DG-R Cust Fcst'!$B7*'Non-Residential TSM UC Adj'!D8</f>
        <v>0</v>
      </c>
      <c r="E8" s="41">
        <f>IF(SUM(B8:D8)=0,0,SUM(B8:D8)/'Sch DG-R Cust Fcst'!B7)</f>
        <v>0</v>
      </c>
      <c r="F8" s="109">
        <f>'Sch DG-R Cust Fcst'!$C7*'Non-Residential TSM UC Adj'!F8</f>
        <v>0</v>
      </c>
      <c r="G8" s="23">
        <f>'Sch DG-R Cust Fcst'!$C7*'Non-Residential TSM UC Adj'!G8</f>
        <v>0</v>
      </c>
      <c r="H8" s="23">
        <f>'Sch DG-R Cust Fcst'!$C7*'Non-Residential TSM UC Adj'!H8</f>
        <v>0</v>
      </c>
      <c r="I8" s="41">
        <f>IF(SUM(F8:H8)=0,0,SUM(F8:H8)/'Sch DG-R Cust Fcst'!C7)</f>
        <v>0</v>
      </c>
      <c r="J8" s="109">
        <f>'Sch DG-R Cust Fcst'!$D7*'Non-Residential TSM UC Adj'!J8</f>
        <v>0</v>
      </c>
      <c r="K8" s="23">
        <f>'Sch DG-R Cust Fcst'!$D7*'Non-Residential TSM UC Adj'!K8</f>
        <v>0</v>
      </c>
      <c r="L8" s="23">
        <f>'Sch DG-R Cust Fcst'!$D7*'Non-Residential TSM UC Adj'!L8</f>
        <v>0</v>
      </c>
      <c r="M8" s="41">
        <f>IF(SUM(J8:L8)=0,0,SUM(J8:L8)/'Sch DG-R Cust Fcst'!D7)</f>
        <v>0</v>
      </c>
      <c r="N8" s="109">
        <f>'Sch DG-R Cust Fcst'!$E7*'Non-Residential TSM UC Adj'!N8</f>
        <v>0</v>
      </c>
      <c r="O8" s="23">
        <f>'Sch DG-R Cust Fcst'!$E7*'Non-Residential TSM UC Adj'!O8</f>
        <v>0</v>
      </c>
      <c r="P8" s="23">
        <f>'Sch DG-R Cust Fcst'!$E7*'Non-Residential TSM UC Adj'!P8</f>
        <v>0</v>
      </c>
      <c r="Q8" s="41">
        <f>IF(SUM(N8:P8)=0,0,SUM(N8:P8)/'Sch DG-R Cust Fcst'!E7)</f>
        <v>0</v>
      </c>
      <c r="R8" s="109">
        <f t="shared" ref="R8:R37" si="1">B8+F8+J8+N8</f>
        <v>0</v>
      </c>
      <c r="S8" s="23">
        <f t="shared" ref="S8:S37" si="2">C8+G8+K8+O8</f>
        <v>0</v>
      </c>
      <c r="T8" s="23">
        <f t="shared" ref="T8:T37" si="3">D8+H8+L8+P8</f>
        <v>0</v>
      </c>
      <c r="U8" s="41">
        <f>IF(SUM(R8:T8)=0,0,SUM(R8:T8)/'Sch DG-R Cust Fcst'!F7)</f>
        <v>0</v>
      </c>
      <c r="V8" s="33">
        <f>'Sch DG-R Cust Fcst'!$G7*'Non-Residential TSM UC Adj'!R8</f>
        <v>0</v>
      </c>
      <c r="W8" s="33">
        <f>'Sch DG-R Cust Fcst'!$G7*'Non-Residential TSM UC Adj'!S8</f>
        <v>0</v>
      </c>
      <c r="X8" s="33">
        <f>'Sch DG-R Cust Fcst'!$G7*'Non-Residential TSM UC Adj'!T8</f>
        <v>0</v>
      </c>
      <c r="Y8" s="41">
        <f>IF(SUM(V8:X8)=0,0,SUM(V8:X8)/'Sch DG-R Cust Fcst'!G7)</f>
        <v>0</v>
      </c>
      <c r="Z8" s="23">
        <f t="shared" ref="Z8:AB37" si="4">R8+V8</f>
        <v>0</v>
      </c>
      <c r="AA8" s="23">
        <f t="shared" si="0"/>
        <v>0</v>
      </c>
      <c r="AB8" s="23">
        <f t="shared" si="0"/>
        <v>0</v>
      </c>
      <c r="AC8" s="41">
        <f>IF(SUM(Z8:AB8)=0,0,SUM(Z8:AB8)/'Sch DG-R Cust Fcst'!H7)</f>
        <v>0</v>
      </c>
    </row>
    <row r="9" spans="1:29">
      <c r="A9" s="126" t="s">
        <v>7</v>
      </c>
      <c r="B9" s="109">
        <f>'Sch DG-R Cust Fcst'!$B8*'Non-Residential TSM UC Adj'!B9</f>
        <v>0</v>
      </c>
      <c r="C9" s="23">
        <f>'Sch DG-R Cust Fcst'!$B8*'Non-Residential TSM UC Adj'!C9</f>
        <v>0</v>
      </c>
      <c r="D9" s="23">
        <f>'Sch DG-R Cust Fcst'!$B8*'Non-Residential TSM UC Adj'!D9</f>
        <v>0</v>
      </c>
      <c r="E9" s="41">
        <f>IF(SUM(B9:D9)=0,0,SUM(B9:D9)/'Sch DG-R Cust Fcst'!B8)</f>
        <v>0</v>
      </c>
      <c r="F9" s="109">
        <f>'Sch DG-R Cust Fcst'!$C8*'Non-Residential TSM UC Adj'!F9</f>
        <v>0</v>
      </c>
      <c r="G9" s="23">
        <f>'Sch DG-R Cust Fcst'!$C8*'Non-Residential TSM UC Adj'!G9</f>
        <v>0</v>
      </c>
      <c r="H9" s="23">
        <f>'Sch DG-R Cust Fcst'!$C8*'Non-Residential TSM UC Adj'!H9</f>
        <v>0</v>
      </c>
      <c r="I9" s="41">
        <f>IF(SUM(F9:H9)=0,0,SUM(F9:H9)/'Sch DG-R Cust Fcst'!C8)</f>
        <v>0</v>
      </c>
      <c r="J9" s="109">
        <f>'Sch DG-R Cust Fcst'!$D8*'Non-Residential TSM UC Adj'!J9</f>
        <v>0</v>
      </c>
      <c r="K9" s="23">
        <f>'Sch DG-R Cust Fcst'!$D8*'Non-Residential TSM UC Adj'!K9</f>
        <v>0</v>
      </c>
      <c r="L9" s="23">
        <f>'Sch DG-R Cust Fcst'!$D8*'Non-Residential TSM UC Adj'!L9</f>
        <v>0</v>
      </c>
      <c r="M9" s="41">
        <f>IF(SUM(J9:L9)=0,0,SUM(J9:L9)/'Sch DG-R Cust Fcst'!D8)</f>
        <v>0</v>
      </c>
      <c r="N9" s="109">
        <f>'Sch DG-R Cust Fcst'!$E8*'Non-Residential TSM UC Adj'!N9</f>
        <v>0</v>
      </c>
      <c r="O9" s="23">
        <f>'Sch DG-R Cust Fcst'!$E8*'Non-Residential TSM UC Adj'!O9</f>
        <v>0</v>
      </c>
      <c r="P9" s="23">
        <f>'Sch DG-R Cust Fcst'!$E8*'Non-Residential TSM UC Adj'!P9</f>
        <v>0</v>
      </c>
      <c r="Q9" s="41">
        <f>IF(SUM(N9:P9)=0,0,SUM(N9:P9)/'Sch DG-R Cust Fcst'!E8)</f>
        <v>0</v>
      </c>
      <c r="R9" s="109">
        <f t="shared" si="1"/>
        <v>0</v>
      </c>
      <c r="S9" s="23">
        <f t="shared" si="2"/>
        <v>0</v>
      </c>
      <c r="T9" s="23">
        <f t="shared" si="3"/>
        <v>0</v>
      </c>
      <c r="U9" s="41">
        <f>IF(SUM(R9:T9)=0,0,SUM(R9:T9)/'Sch DG-R Cust Fcst'!F8)</f>
        <v>0</v>
      </c>
      <c r="V9" s="33">
        <f>'Sch DG-R Cust Fcst'!$G8*'Non-Residential TSM UC Adj'!R9</f>
        <v>0</v>
      </c>
      <c r="W9" s="33">
        <f>'Sch DG-R Cust Fcst'!$G8*'Non-Residential TSM UC Adj'!S9</f>
        <v>0</v>
      </c>
      <c r="X9" s="33">
        <f>'Sch DG-R Cust Fcst'!$G8*'Non-Residential TSM UC Adj'!T9</f>
        <v>0</v>
      </c>
      <c r="Y9" s="41">
        <f>IF(SUM(V9:X9)=0,0,SUM(V9:X9)/'Sch DG-R Cust Fcst'!G8)</f>
        <v>0</v>
      </c>
      <c r="Z9" s="23">
        <f t="shared" si="4"/>
        <v>0</v>
      </c>
      <c r="AA9" s="23">
        <f t="shared" si="0"/>
        <v>0</v>
      </c>
      <c r="AB9" s="23">
        <f t="shared" si="0"/>
        <v>0</v>
      </c>
      <c r="AC9" s="41">
        <f>IF(SUM(Z9:AB9)=0,0,SUM(Z9:AB9)/'Sch DG-R Cust Fcst'!H8)</f>
        <v>0</v>
      </c>
    </row>
    <row r="10" spans="1:29">
      <c r="A10" s="126" t="s">
        <v>110</v>
      </c>
      <c r="B10" s="109">
        <f>'Sch DG-R Cust Fcst'!$B9*'Non-Residential TSM UC Adj'!B10</f>
        <v>0</v>
      </c>
      <c r="C10" s="23">
        <f>'Sch DG-R Cust Fcst'!$B9*'Non-Residential TSM UC Adj'!C10</f>
        <v>0</v>
      </c>
      <c r="D10" s="23">
        <f>'Sch DG-R Cust Fcst'!$B9*'Non-Residential TSM UC Adj'!D10</f>
        <v>0</v>
      </c>
      <c r="E10" s="41">
        <f>IF(SUM(B10:D10)=0,0,SUM(B10:D10)/'Sch DG-R Cust Fcst'!B9)</f>
        <v>0</v>
      </c>
      <c r="F10" s="109">
        <f>'Sch DG-R Cust Fcst'!$C9*'Non-Residential TSM UC Adj'!F10</f>
        <v>0</v>
      </c>
      <c r="G10" s="23">
        <f>'Sch DG-R Cust Fcst'!$C9*'Non-Residential TSM UC Adj'!G10</f>
        <v>0</v>
      </c>
      <c r="H10" s="23">
        <f>'Sch DG-R Cust Fcst'!$C9*'Non-Residential TSM UC Adj'!H10</f>
        <v>0</v>
      </c>
      <c r="I10" s="41">
        <f>IF(SUM(F10:H10)=0,0,SUM(F10:H10)/'Sch DG-R Cust Fcst'!C9)</f>
        <v>0</v>
      </c>
      <c r="J10" s="109">
        <f>'Sch DG-R Cust Fcst'!$D9*'Non-Residential TSM UC Adj'!J10</f>
        <v>4948.0982931893386</v>
      </c>
      <c r="K10" s="23">
        <f>'Sch DG-R Cust Fcst'!$D9*'Non-Residential TSM UC Adj'!K10</f>
        <v>718.29191911453245</v>
      </c>
      <c r="L10" s="23">
        <f>'Sch DG-R Cust Fcst'!$D9*'Non-Residential TSM UC Adj'!L10</f>
        <v>297.01685728884092</v>
      </c>
      <c r="M10" s="41">
        <f>IF(SUM(J10:L10)=0,0,SUM(J10:L10)/'Sch DG-R Cust Fcst'!D9)</f>
        <v>5963.4070695927121</v>
      </c>
      <c r="N10" s="109">
        <f>'Sch DG-R Cust Fcst'!$E9*'Non-Residential TSM UC Adj'!N10</f>
        <v>0</v>
      </c>
      <c r="O10" s="23">
        <f>'Sch DG-R Cust Fcst'!$E9*'Non-Residential TSM UC Adj'!O10</f>
        <v>0</v>
      </c>
      <c r="P10" s="23">
        <f>'Sch DG-R Cust Fcst'!$E9*'Non-Residential TSM UC Adj'!P10</f>
        <v>0</v>
      </c>
      <c r="Q10" s="41">
        <f>IF(SUM(N10:P10)=0,0,SUM(N10:P10)/'Sch DG-R Cust Fcst'!E9)</f>
        <v>0</v>
      </c>
      <c r="R10" s="109">
        <f t="shared" si="1"/>
        <v>4948.0982931893386</v>
      </c>
      <c r="S10" s="23">
        <f t="shared" si="2"/>
        <v>718.29191911453245</v>
      </c>
      <c r="T10" s="23">
        <f t="shared" si="3"/>
        <v>297.01685728884092</v>
      </c>
      <c r="U10" s="41">
        <f>IF(SUM(R10:T10)=0,0,SUM(R10:T10)/'Sch DG-R Cust Fcst'!F9)</f>
        <v>5963.4070695927121</v>
      </c>
      <c r="V10" s="33">
        <f>'Sch DG-R Cust Fcst'!$G9*'Non-Residential TSM UC Adj'!R10</f>
        <v>0</v>
      </c>
      <c r="W10" s="33">
        <f>'Sch DG-R Cust Fcst'!$G9*'Non-Residential TSM UC Adj'!S10</f>
        <v>0</v>
      </c>
      <c r="X10" s="33">
        <f>'Sch DG-R Cust Fcst'!$G9*'Non-Residential TSM UC Adj'!T10</f>
        <v>0</v>
      </c>
      <c r="Y10" s="41">
        <f>IF(SUM(V10:X10)=0,0,SUM(V10:X10)/'Sch DG-R Cust Fcst'!G9)</f>
        <v>0</v>
      </c>
      <c r="Z10" s="23">
        <f t="shared" si="4"/>
        <v>4948.0982931893386</v>
      </c>
      <c r="AA10" s="23">
        <f t="shared" si="0"/>
        <v>718.29191911453245</v>
      </c>
      <c r="AB10" s="23">
        <f t="shared" si="0"/>
        <v>297.01685728884092</v>
      </c>
      <c r="AC10" s="41">
        <f>IF(SUM(Z10:AB10)=0,0,SUM(Z10:AB10)/'Sch DG-R Cust Fcst'!H9)</f>
        <v>5963.4070695927121</v>
      </c>
    </row>
    <row r="11" spans="1:29">
      <c r="A11" s="126" t="s">
        <v>102</v>
      </c>
      <c r="B11" s="109">
        <f>'Sch DG-R Cust Fcst'!$B10*'Non-Residential TSM UC Adj'!B11</f>
        <v>0</v>
      </c>
      <c r="C11" s="23">
        <f>'Sch DG-R Cust Fcst'!$B10*'Non-Residential TSM UC Adj'!C11</f>
        <v>0</v>
      </c>
      <c r="D11" s="23">
        <f>'Sch DG-R Cust Fcst'!$B10*'Non-Residential TSM UC Adj'!D11</f>
        <v>0</v>
      </c>
      <c r="E11" s="41">
        <f>IF(SUM(B11:D11)=0,0,SUM(B11:D11)/'Sch DG-R Cust Fcst'!B10)</f>
        <v>0</v>
      </c>
      <c r="F11" s="109">
        <f>'Sch DG-R Cust Fcst'!$C10*'Non-Residential TSM UC Adj'!F11</f>
        <v>0</v>
      </c>
      <c r="G11" s="23">
        <f>'Sch DG-R Cust Fcst'!$C10*'Non-Residential TSM UC Adj'!G11</f>
        <v>0</v>
      </c>
      <c r="H11" s="23">
        <f>'Sch DG-R Cust Fcst'!$C10*'Non-Residential TSM UC Adj'!H11</f>
        <v>0</v>
      </c>
      <c r="I11" s="41">
        <f>IF(SUM(F11:H11)=0,0,SUM(F11:H11)/'Sch DG-R Cust Fcst'!C10)</f>
        <v>0</v>
      </c>
      <c r="J11" s="109">
        <f>'Sch DG-R Cust Fcst'!$D10*'Non-Residential TSM UC Adj'!J11</f>
        <v>0</v>
      </c>
      <c r="K11" s="23">
        <f>'Sch DG-R Cust Fcst'!$D10*'Non-Residential TSM UC Adj'!K11</f>
        <v>0</v>
      </c>
      <c r="L11" s="23">
        <f>'Sch DG-R Cust Fcst'!$D10*'Non-Residential TSM UC Adj'!L11</f>
        <v>0</v>
      </c>
      <c r="M11" s="41">
        <f>IF(SUM(J11:L11)=0,0,SUM(J11:L11)/'Sch DG-R Cust Fcst'!D10)</f>
        <v>0</v>
      </c>
      <c r="N11" s="109">
        <f>'Sch DG-R Cust Fcst'!$E10*'Non-Residential TSM UC Adj'!N11</f>
        <v>0</v>
      </c>
      <c r="O11" s="23">
        <f>'Sch DG-R Cust Fcst'!$E10*'Non-Residential TSM UC Adj'!O11</f>
        <v>0</v>
      </c>
      <c r="P11" s="23">
        <f>'Sch DG-R Cust Fcst'!$E10*'Non-Residential TSM UC Adj'!P11</f>
        <v>0</v>
      </c>
      <c r="Q11" s="41">
        <f>IF(SUM(N11:P11)=0,0,SUM(N11:P11)/'Sch DG-R Cust Fcst'!E10)</f>
        <v>0</v>
      </c>
      <c r="R11" s="109">
        <f t="shared" si="1"/>
        <v>0</v>
      </c>
      <c r="S11" s="23">
        <f t="shared" si="2"/>
        <v>0</v>
      </c>
      <c r="T11" s="23">
        <f t="shared" si="3"/>
        <v>0</v>
      </c>
      <c r="U11" s="41">
        <f>IF(SUM(R11:T11)=0,0,SUM(R11:T11)/'Sch DG-R Cust Fcst'!F10)</f>
        <v>0</v>
      </c>
      <c r="V11" s="33">
        <f>'Sch DG-R Cust Fcst'!$G10*'Non-Residential TSM UC Adj'!R11</f>
        <v>0</v>
      </c>
      <c r="W11" s="33">
        <f>'Sch DG-R Cust Fcst'!$G10*'Non-Residential TSM UC Adj'!S11</f>
        <v>0</v>
      </c>
      <c r="X11" s="33">
        <f>'Sch DG-R Cust Fcst'!$G10*'Non-Residential TSM UC Adj'!T11</f>
        <v>0</v>
      </c>
      <c r="Y11" s="41">
        <f>IF(SUM(V11:X11)=0,0,SUM(V11:X11)/'Sch DG-R Cust Fcst'!G10)</f>
        <v>0</v>
      </c>
      <c r="Z11" s="23">
        <f t="shared" si="4"/>
        <v>0</v>
      </c>
      <c r="AA11" s="23">
        <f t="shared" si="0"/>
        <v>0</v>
      </c>
      <c r="AB11" s="23">
        <f t="shared" si="0"/>
        <v>0</v>
      </c>
      <c r="AC11" s="41">
        <f>IF(SUM(Z11:AB11)=0,0,SUM(Z11:AB11)/'Sch DG-R Cust Fcst'!H10)</f>
        <v>0</v>
      </c>
    </row>
    <row r="12" spans="1:29">
      <c r="A12" s="126" t="s">
        <v>8</v>
      </c>
      <c r="B12" s="109">
        <f>'Sch DG-R Cust Fcst'!$B11*'Non-Residential TSM UC Adj'!B12</f>
        <v>4690.093592721636</v>
      </c>
      <c r="C12" s="23">
        <f>'Sch DG-R Cust Fcst'!$B11*'Non-Residential TSM UC Adj'!C12</f>
        <v>416.66793089405189</v>
      </c>
      <c r="D12" s="23">
        <f>'Sch DG-R Cust Fcst'!$B11*'Non-Residential TSM UC Adj'!D12</f>
        <v>231.00861885131383</v>
      </c>
      <c r="E12" s="41">
        <f>IF(SUM(B12:D12)=0,0,SUM(B12:D12)/'Sch DG-R Cust Fcst'!B11)</f>
        <v>5337.7701424670022</v>
      </c>
      <c r="F12" s="109">
        <f>'Sch DG-R Cust Fcst'!$C11*'Non-Residential TSM UC Adj'!F12</f>
        <v>0</v>
      </c>
      <c r="G12" s="23">
        <f>'Sch DG-R Cust Fcst'!$C11*'Non-Residential TSM UC Adj'!G12</f>
        <v>0</v>
      </c>
      <c r="H12" s="23">
        <f>'Sch DG-R Cust Fcst'!$C11*'Non-Residential TSM UC Adj'!H12</f>
        <v>0</v>
      </c>
      <c r="I12" s="41">
        <f>IF(SUM(F12:H12)=0,0,SUM(F12:H12)/'Sch DG-R Cust Fcst'!C11)</f>
        <v>0</v>
      </c>
      <c r="J12" s="109">
        <f>'Sch DG-R Cust Fcst'!$D11*'Non-Residential TSM UC Adj'!J12</f>
        <v>44532.884638704047</v>
      </c>
      <c r="K12" s="23">
        <f>'Sch DG-R Cust Fcst'!$D11*'Non-Residential TSM UC Adj'!K12</f>
        <v>2805.7053214268699</v>
      </c>
      <c r="L12" s="23">
        <f>'Sch DG-R Cust Fcst'!$D11*'Non-Residential TSM UC Adj'!L12</f>
        <v>891.05057186652277</v>
      </c>
      <c r="M12" s="41">
        <f>IF(SUM(J12:L12)=0,0,SUM(J12:L12)/'Sch DG-R Cust Fcst'!D11)</f>
        <v>16076.546843999145</v>
      </c>
      <c r="N12" s="109">
        <f>'Sch DG-R Cust Fcst'!$E11*'Non-Residential TSM UC Adj'!N12</f>
        <v>0</v>
      </c>
      <c r="O12" s="23">
        <f>'Sch DG-R Cust Fcst'!$E11*'Non-Residential TSM UC Adj'!O12</f>
        <v>0</v>
      </c>
      <c r="P12" s="23">
        <f>'Sch DG-R Cust Fcst'!$E11*'Non-Residential TSM UC Adj'!P12</f>
        <v>0</v>
      </c>
      <c r="Q12" s="41">
        <f>IF(SUM(N12:P12)=0,0,SUM(N12:P12)/'Sch DG-R Cust Fcst'!E11)</f>
        <v>0</v>
      </c>
      <c r="R12" s="109">
        <f t="shared" si="1"/>
        <v>49222.978231425681</v>
      </c>
      <c r="S12" s="23">
        <f t="shared" si="2"/>
        <v>3222.3732523209219</v>
      </c>
      <c r="T12" s="23">
        <f t="shared" si="3"/>
        <v>1122.0591907178366</v>
      </c>
      <c r="U12" s="41">
        <f>IF(SUM(R12:T12)=0,0,SUM(R12:T12)/'Sch DG-R Cust Fcst'!F11)</f>
        <v>13391.852668616111</v>
      </c>
      <c r="V12" s="33">
        <f>'Sch DG-R Cust Fcst'!$G11*'Non-Residential TSM UC Adj'!R12</f>
        <v>0</v>
      </c>
      <c r="W12" s="33">
        <f>'Sch DG-R Cust Fcst'!$G11*'Non-Residential TSM UC Adj'!S12</f>
        <v>0</v>
      </c>
      <c r="X12" s="33">
        <f>'Sch DG-R Cust Fcst'!$G11*'Non-Residential TSM UC Adj'!T12</f>
        <v>0</v>
      </c>
      <c r="Y12" s="41">
        <f>IF(SUM(V12:X12)=0,0,SUM(V12:X12)/'Sch DG-R Cust Fcst'!G11)</f>
        <v>0</v>
      </c>
      <c r="Z12" s="23">
        <f t="shared" si="4"/>
        <v>49222.978231425681</v>
      </c>
      <c r="AA12" s="23">
        <f t="shared" si="0"/>
        <v>3222.3732523209219</v>
      </c>
      <c r="AB12" s="23">
        <f t="shared" si="0"/>
        <v>1122.0591907178366</v>
      </c>
      <c r="AC12" s="41">
        <f>IF(SUM(Z12:AB12)=0,0,SUM(Z12:AB12)/'Sch DG-R Cust Fcst'!H11)</f>
        <v>13391.852668616111</v>
      </c>
    </row>
    <row r="13" spans="1:29">
      <c r="A13" s="126" t="s">
        <v>9</v>
      </c>
      <c r="B13" s="109">
        <f>'Sch DG-R Cust Fcst'!$B12*'Non-Residential TSM UC Adj'!B13</f>
        <v>5150.0808789771727</v>
      </c>
      <c r="C13" s="23">
        <f>'Sch DG-R Cust Fcst'!$B12*'Non-Residential TSM UC Adj'!C13</f>
        <v>671.30102360008686</v>
      </c>
      <c r="D13" s="23">
        <f>'Sch DG-R Cust Fcst'!$B12*'Non-Residential TSM UC Adj'!D13</f>
        <v>231.00861885131383</v>
      </c>
      <c r="E13" s="41">
        <f>IF(SUM(B13:D13)=0,0,SUM(B13:D13)/'Sch DG-R Cust Fcst'!B12)</f>
        <v>6052.3905214285733</v>
      </c>
      <c r="F13" s="109">
        <f>'Sch DG-R Cust Fcst'!$C12*'Non-Residential TSM UC Adj'!F13</f>
        <v>0</v>
      </c>
      <c r="G13" s="23">
        <f>'Sch DG-R Cust Fcst'!$C12*'Non-Residential TSM UC Adj'!G13</f>
        <v>0</v>
      </c>
      <c r="H13" s="23">
        <f>'Sch DG-R Cust Fcst'!$C12*'Non-Residential TSM UC Adj'!H13</f>
        <v>0</v>
      </c>
      <c r="I13" s="41">
        <f>IF(SUM(F13:H13)=0,0,SUM(F13:H13)/'Sch DG-R Cust Fcst'!C12)</f>
        <v>0</v>
      </c>
      <c r="J13" s="109">
        <f>'Sch DG-R Cust Fcst'!$D12*'Non-Residential TSM UC Adj'!J13</f>
        <v>59377.17951827206</v>
      </c>
      <c r="K13" s="23">
        <f>'Sch DG-R Cust Fcst'!$D12*'Non-Residential TSM UC Adj'!K13</f>
        <v>5762.1997393613065</v>
      </c>
      <c r="L13" s="23">
        <f>'Sch DG-R Cust Fcst'!$D12*'Non-Residential TSM UC Adj'!L13</f>
        <v>1188.0674291553637</v>
      </c>
      <c r="M13" s="41">
        <f>IF(SUM(J13:L13)=0,0,SUM(J13:L13)/'Sch DG-R Cust Fcst'!D12)</f>
        <v>16581.861671697181</v>
      </c>
      <c r="N13" s="109">
        <f>'Sch DG-R Cust Fcst'!$E12*'Non-Residential TSM UC Adj'!N13</f>
        <v>0</v>
      </c>
      <c r="O13" s="23">
        <f>'Sch DG-R Cust Fcst'!$E12*'Non-Residential TSM UC Adj'!O13</f>
        <v>0</v>
      </c>
      <c r="P13" s="23">
        <f>'Sch DG-R Cust Fcst'!$E12*'Non-Residential TSM UC Adj'!P13</f>
        <v>0</v>
      </c>
      <c r="Q13" s="41">
        <f>IF(SUM(N13:P13)=0,0,SUM(N13:P13)/'Sch DG-R Cust Fcst'!E12)</f>
        <v>0</v>
      </c>
      <c r="R13" s="109">
        <f t="shared" si="1"/>
        <v>64527.260397249236</v>
      </c>
      <c r="S13" s="23">
        <f t="shared" si="2"/>
        <v>6433.5007629613938</v>
      </c>
      <c r="T13" s="23">
        <f t="shared" si="3"/>
        <v>1419.0760480066774</v>
      </c>
      <c r="U13" s="41">
        <f>IF(SUM(R13:T13)=0,0,SUM(R13:T13)/'Sch DG-R Cust Fcst'!F12)</f>
        <v>14475.967441643463</v>
      </c>
      <c r="V13" s="33">
        <f>'Sch DG-R Cust Fcst'!$G12*'Non-Residential TSM UC Adj'!R13</f>
        <v>0</v>
      </c>
      <c r="W13" s="33">
        <f>'Sch DG-R Cust Fcst'!$G12*'Non-Residential TSM UC Adj'!S13</f>
        <v>0</v>
      </c>
      <c r="X13" s="33">
        <f>'Sch DG-R Cust Fcst'!$G12*'Non-Residential TSM UC Adj'!T13</f>
        <v>0</v>
      </c>
      <c r="Y13" s="41">
        <f>IF(SUM(V13:X13)=0,0,SUM(V13:X13)/'Sch DG-R Cust Fcst'!G12)</f>
        <v>0</v>
      </c>
      <c r="Z13" s="23">
        <f t="shared" si="4"/>
        <v>64527.260397249236</v>
      </c>
      <c r="AA13" s="23">
        <f t="shared" si="0"/>
        <v>6433.5007629613938</v>
      </c>
      <c r="AB13" s="23">
        <f t="shared" si="0"/>
        <v>1419.0760480066774</v>
      </c>
      <c r="AC13" s="41">
        <f>IF(SUM(Z13:AB13)=0,0,SUM(Z13:AB13)/'Sch DG-R Cust Fcst'!H12)</f>
        <v>14475.967441643463</v>
      </c>
    </row>
    <row r="14" spans="1:29">
      <c r="A14" s="126" t="s">
        <v>10</v>
      </c>
      <c r="B14" s="109">
        <f>'Sch DG-R Cust Fcst'!$B13*'Non-Residential TSM UC Adj'!B14</f>
        <v>0</v>
      </c>
      <c r="C14" s="23">
        <f>'Sch DG-R Cust Fcst'!$B13*'Non-Residential TSM UC Adj'!C14</f>
        <v>0</v>
      </c>
      <c r="D14" s="23">
        <f>'Sch DG-R Cust Fcst'!$B13*'Non-Residential TSM UC Adj'!D14</f>
        <v>0</v>
      </c>
      <c r="E14" s="41">
        <f>IF(SUM(B14:D14)=0,0,SUM(B14:D14)/'Sch DG-R Cust Fcst'!B13)</f>
        <v>0</v>
      </c>
      <c r="F14" s="109">
        <f>'Sch DG-R Cust Fcst'!$C13*'Non-Residential TSM UC Adj'!F14</f>
        <v>0</v>
      </c>
      <c r="G14" s="23">
        <f>'Sch DG-R Cust Fcst'!$C13*'Non-Residential TSM UC Adj'!G14</f>
        <v>0</v>
      </c>
      <c r="H14" s="23">
        <f>'Sch DG-R Cust Fcst'!$C13*'Non-Residential TSM UC Adj'!H14</f>
        <v>0</v>
      </c>
      <c r="I14" s="41">
        <f>IF(SUM(F14:H14)=0,0,SUM(F14:H14)/'Sch DG-R Cust Fcst'!C13)</f>
        <v>0</v>
      </c>
      <c r="J14" s="109">
        <f>'Sch DG-R Cust Fcst'!$D13*'Non-Residential TSM UC Adj'!J14</f>
        <v>42987.695921781793</v>
      </c>
      <c r="K14" s="23">
        <f>'Sch DG-R Cust Fcst'!$D13*'Non-Residential TSM UC Adj'!K14</f>
        <v>7202.7496742016328</v>
      </c>
      <c r="L14" s="23">
        <f>'Sch DG-R Cust Fcst'!$D13*'Non-Residential TSM UC Adj'!L14</f>
        <v>1485.0842864442047</v>
      </c>
      <c r="M14" s="41">
        <f>IF(SUM(J14:L14)=0,0,SUM(J14:L14)/'Sch DG-R Cust Fcst'!D13)</f>
        <v>10335.105976485525</v>
      </c>
      <c r="N14" s="109">
        <f>'Sch DG-R Cust Fcst'!$E13*'Non-Residential TSM UC Adj'!N14</f>
        <v>43775.961368578901</v>
      </c>
      <c r="O14" s="23">
        <f>'Sch DG-R Cust Fcst'!$E13*'Non-Residential TSM UC Adj'!O14</f>
        <v>7202.7496742016328</v>
      </c>
      <c r="P14" s="23">
        <f>'Sch DG-R Cust Fcst'!$E13*'Non-Residential TSM UC Adj'!P14</f>
        <v>1485.0842864442047</v>
      </c>
      <c r="Q14" s="41">
        <f>IF(SUM(N14:P14)=0,0,SUM(N14:P14)/'Sch DG-R Cust Fcst'!E13)</f>
        <v>10492.759065844946</v>
      </c>
      <c r="R14" s="109">
        <f t="shared" si="1"/>
        <v>86763.657290360687</v>
      </c>
      <c r="S14" s="23">
        <f t="shared" si="2"/>
        <v>14405.499348403266</v>
      </c>
      <c r="T14" s="23">
        <f t="shared" si="3"/>
        <v>2970.1685728884095</v>
      </c>
      <c r="U14" s="41">
        <f>IF(SUM(R14:T14)=0,0,SUM(R14:T14)/'Sch DG-R Cust Fcst'!F13)</f>
        <v>10413.932521165236</v>
      </c>
      <c r="V14" s="33">
        <f>'Sch DG-R Cust Fcst'!$G13*'Non-Residential TSM UC Adj'!R14</f>
        <v>0</v>
      </c>
      <c r="W14" s="33">
        <f>'Sch DG-R Cust Fcst'!$G13*'Non-Residential TSM UC Adj'!S14</f>
        <v>0</v>
      </c>
      <c r="X14" s="33">
        <f>'Sch DG-R Cust Fcst'!$G13*'Non-Residential TSM UC Adj'!T14</f>
        <v>0</v>
      </c>
      <c r="Y14" s="41">
        <f>IF(SUM(V14:X14)=0,0,SUM(V14:X14)/'Sch DG-R Cust Fcst'!G13)</f>
        <v>0</v>
      </c>
      <c r="Z14" s="23">
        <f t="shared" si="4"/>
        <v>86763.657290360687</v>
      </c>
      <c r="AA14" s="23">
        <f t="shared" si="0"/>
        <v>14405.499348403266</v>
      </c>
      <c r="AB14" s="23">
        <f t="shared" si="0"/>
        <v>2970.1685728884095</v>
      </c>
      <c r="AC14" s="41">
        <f>IF(SUM(Z14:AB14)=0,0,SUM(Z14:AB14)/'Sch DG-R Cust Fcst'!H13)</f>
        <v>10413.932521165236</v>
      </c>
    </row>
    <row r="15" spans="1:29">
      <c r="A15" s="126" t="s">
        <v>11</v>
      </c>
      <c r="B15" s="109">
        <f>'Sch DG-R Cust Fcst'!$B14*'Non-Residential TSM UC Adj'!B15</f>
        <v>0</v>
      </c>
      <c r="C15" s="23">
        <f>'Sch DG-R Cust Fcst'!$B14*'Non-Residential TSM UC Adj'!C15</f>
        <v>0</v>
      </c>
      <c r="D15" s="23">
        <f>'Sch DG-R Cust Fcst'!$B14*'Non-Residential TSM UC Adj'!D15</f>
        <v>0</v>
      </c>
      <c r="E15" s="41">
        <f>IF(SUM(B15:D15)=0,0,SUM(B15:D15)/'Sch DG-R Cust Fcst'!B14)</f>
        <v>0</v>
      </c>
      <c r="F15" s="109">
        <f>'Sch DG-R Cust Fcst'!$C14*'Non-Residential TSM UC Adj'!F15</f>
        <v>8339.1934513193628</v>
      </c>
      <c r="G15" s="23">
        <f>'Sch DG-R Cust Fcst'!$C14*'Non-Residential TSM UC Adj'!G15</f>
        <v>2881.0998696806532</v>
      </c>
      <c r="H15" s="23">
        <f>'Sch DG-R Cust Fcst'!$C14*'Non-Residential TSM UC Adj'!H15</f>
        <v>855.2930770275243</v>
      </c>
      <c r="I15" s="41">
        <f>IF(SUM(F15:H15)=0,0,SUM(F15:H15)/'Sch DG-R Cust Fcst'!C14)</f>
        <v>12075.586398027539</v>
      </c>
      <c r="J15" s="109">
        <f>'Sch DG-R Cust Fcst'!$D14*'Non-Residential TSM UC Adj'!J15</f>
        <v>51585.235106138156</v>
      </c>
      <c r="K15" s="23">
        <f>'Sch DG-R Cust Fcst'!$D14*'Non-Residential TSM UC Adj'!K15</f>
        <v>8643.2996090419601</v>
      </c>
      <c r="L15" s="23">
        <f>'Sch DG-R Cust Fcst'!$D14*'Non-Residential TSM UC Adj'!L15</f>
        <v>2565.8792310825729</v>
      </c>
      <c r="M15" s="41">
        <f>IF(SUM(J15:L15)=0,0,SUM(J15:L15)/'Sch DG-R Cust Fcst'!D14)</f>
        <v>20931.471315420898</v>
      </c>
      <c r="N15" s="109">
        <f>'Sch DG-R Cust Fcst'!$E14*'Non-Residential TSM UC Adj'!N15</f>
        <v>262655.76821147342</v>
      </c>
      <c r="O15" s="23">
        <f>'Sch DG-R Cust Fcst'!$E14*'Non-Residential TSM UC Adj'!O15</f>
        <v>21608.249022604898</v>
      </c>
      <c r="P15" s="23">
        <f>'Sch DG-R Cust Fcst'!$E14*'Non-Residential TSM UC Adj'!P15</f>
        <v>12829.396155412865</v>
      </c>
      <c r="Q15" s="41">
        <f>IF(SUM(N15:P15)=0,0,SUM(N15:P15)/'Sch DG-R Cust Fcst'!E14)</f>
        <v>19806.227559299416</v>
      </c>
      <c r="R15" s="109">
        <f t="shared" si="1"/>
        <v>322580.19676893094</v>
      </c>
      <c r="S15" s="23">
        <f t="shared" si="2"/>
        <v>33132.648501327509</v>
      </c>
      <c r="T15" s="23">
        <f t="shared" si="3"/>
        <v>16250.568463522963</v>
      </c>
      <c r="U15" s="41">
        <f>IF(SUM(R15:T15)=0,0,SUM(R15:T15)/'Sch DG-R Cust Fcst'!F14)</f>
        <v>19577.021775462177</v>
      </c>
      <c r="V15" s="33">
        <f>'Sch DG-R Cust Fcst'!$G14*'Non-Residential TSM UC Adj'!R15</f>
        <v>0</v>
      </c>
      <c r="W15" s="33">
        <f>'Sch DG-R Cust Fcst'!$G14*'Non-Residential TSM UC Adj'!S15</f>
        <v>6259.854625884439</v>
      </c>
      <c r="X15" s="33">
        <f>'Sch DG-R Cust Fcst'!$G14*'Non-Residential TSM UC Adj'!T15</f>
        <v>1913.5839266552791</v>
      </c>
      <c r="Y15" s="41">
        <f>IF(SUM(V15:X15)=0,0,SUM(V15:X15)/'Sch DG-R Cust Fcst'!G14)</f>
        <v>4086.7192762698592</v>
      </c>
      <c r="Z15" s="23">
        <f t="shared" si="4"/>
        <v>322580.19676893094</v>
      </c>
      <c r="AA15" s="23">
        <f t="shared" si="0"/>
        <v>39392.503127211945</v>
      </c>
      <c r="AB15" s="23">
        <f t="shared" si="0"/>
        <v>18164.152390178242</v>
      </c>
      <c r="AC15" s="41">
        <f>IF(SUM(Z15:AB15)=0,0,SUM(Z15:AB15)/'Sch DG-R Cust Fcst'!H14)</f>
        <v>18101.754870777197</v>
      </c>
    </row>
    <row r="16" spans="1:29">
      <c r="A16" s="126" t="s">
        <v>106</v>
      </c>
      <c r="B16" s="109">
        <f>'Sch DG-R Cust Fcst'!$B15*'Non-Residential TSM UC Adj'!B16</f>
        <v>0</v>
      </c>
      <c r="C16" s="23">
        <f>'Sch DG-R Cust Fcst'!$B15*'Non-Residential TSM UC Adj'!C16</f>
        <v>0</v>
      </c>
      <c r="D16" s="23">
        <f>'Sch DG-R Cust Fcst'!$B15*'Non-Residential TSM UC Adj'!D16</f>
        <v>0</v>
      </c>
      <c r="E16" s="41">
        <f>IF(SUM(B16:D16)=0,0,SUM(B16:D16)/'Sch DG-R Cust Fcst'!B15)</f>
        <v>0</v>
      </c>
      <c r="F16" s="109">
        <f>'Sch DG-R Cust Fcst'!$C15*'Non-Residential TSM UC Adj'!F16</f>
        <v>0</v>
      </c>
      <c r="G16" s="23">
        <f>'Sch DG-R Cust Fcst'!$C15*'Non-Residential TSM UC Adj'!G16</f>
        <v>0</v>
      </c>
      <c r="H16" s="23">
        <f>'Sch DG-R Cust Fcst'!$C15*'Non-Residential TSM UC Adj'!H16</f>
        <v>0</v>
      </c>
      <c r="I16" s="41">
        <f>IF(SUM(F16:H16)=0,0,SUM(F16:H16)/'Sch DG-R Cust Fcst'!C15)</f>
        <v>0</v>
      </c>
      <c r="J16" s="109">
        <f>'Sch DG-R Cust Fcst'!$D15*'Non-Residential TSM UC Adj'!J16</f>
        <v>58125.411652796705</v>
      </c>
      <c r="K16" s="23">
        <f>'Sch DG-R Cust Fcst'!$D15*'Non-Residential TSM UC Adj'!K16</f>
        <v>23288.283695546896</v>
      </c>
      <c r="L16" s="23">
        <f>'Sch DG-R Cust Fcst'!$D15*'Non-Residential TSM UC Adj'!L16</f>
        <v>5131.7584621651458</v>
      </c>
      <c r="M16" s="41">
        <f>IF(SUM(J16:L16)=0,0,SUM(J16:L16)/'Sch DG-R Cust Fcst'!D15)</f>
        <v>14424.242301751459</v>
      </c>
      <c r="N16" s="109">
        <f>'Sch DG-R Cust Fcst'!$E15*'Non-Residential TSM UC Adj'!N16</f>
        <v>100886.55924082494</v>
      </c>
      <c r="O16" s="23">
        <f>'Sch DG-R Cust Fcst'!$E15*'Non-Residential TSM UC Adj'!O16</f>
        <v>21347.593387584657</v>
      </c>
      <c r="P16" s="23">
        <f>'Sch DG-R Cust Fcst'!$E15*'Non-Residential TSM UC Adj'!P16</f>
        <v>9408.2238473027683</v>
      </c>
      <c r="Q16" s="41">
        <f>IF(SUM(N16:P16)=0,0,SUM(N16:P16)/'Sch DG-R Cust Fcst'!E15)</f>
        <v>11967.488770519303</v>
      </c>
      <c r="R16" s="109">
        <f t="shared" si="1"/>
        <v>159011.97089362165</v>
      </c>
      <c r="S16" s="23">
        <f t="shared" si="2"/>
        <v>44635.877083131549</v>
      </c>
      <c r="T16" s="23">
        <f t="shared" si="3"/>
        <v>14539.982309467914</v>
      </c>
      <c r="U16" s="41">
        <f>IF(SUM(R16:T16)=0,0,SUM(R16:T16)/'Sch DG-R Cust Fcst'!F15)</f>
        <v>12834.578252130654</v>
      </c>
      <c r="V16" s="33">
        <f>'Sch DG-R Cust Fcst'!$G15*'Non-Residential TSM UC Adj'!R16</f>
        <v>0</v>
      </c>
      <c r="W16" s="33">
        <f>'Sch DG-R Cust Fcst'!$G15*'Non-Residential TSM UC Adj'!S16</f>
        <v>3129.9273129422195</v>
      </c>
      <c r="X16" s="33">
        <f>'Sch DG-R Cust Fcst'!$G15*'Non-Residential TSM UC Adj'!T16</f>
        <v>956.79196332763956</v>
      </c>
      <c r="Y16" s="41">
        <f>IF(SUM(V16:X16)=0,0,SUM(V16:X16)/'Sch DG-R Cust Fcst'!G15)</f>
        <v>4086.7192762698592</v>
      </c>
      <c r="Z16" s="23">
        <f t="shared" si="4"/>
        <v>159011.97089362165</v>
      </c>
      <c r="AA16" s="23">
        <f t="shared" si="0"/>
        <v>47765.80439607377</v>
      </c>
      <c r="AB16" s="23">
        <f t="shared" si="0"/>
        <v>15496.774272795554</v>
      </c>
      <c r="AC16" s="41">
        <f>IF(SUM(Z16:AB16)=0,0,SUM(Z16:AB16)/'Sch DG-R Cust Fcst'!H15)</f>
        <v>12348.586086805055</v>
      </c>
    </row>
    <row r="17" spans="1:29">
      <c r="A17" s="126" t="s">
        <v>107</v>
      </c>
      <c r="B17" s="109">
        <f>'Sch DG-R Cust Fcst'!$B16*'Non-Residential TSM UC Adj'!J17</f>
        <v>0</v>
      </c>
      <c r="C17" s="23">
        <f>'Sch DG-R Cust Fcst'!$B16*'Non-Residential TSM UC Adj'!K17</f>
        <v>0</v>
      </c>
      <c r="D17" s="23">
        <f>'Sch DG-R Cust Fcst'!$B16*'Non-Residential TSM UC Adj'!L17</f>
        <v>0</v>
      </c>
      <c r="E17" s="41">
        <f>IF(SUM(B17:D17)=0,0,SUM(B17:D17)/'Sch DG-R Cust Fcst'!B16)</f>
        <v>0</v>
      </c>
      <c r="F17" s="109">
        <f>'Sch DG-R Cust Fcst'!$C16*'Non-Residential TSM UC Adj'!F17</f>
        <v>0</v>
      </c>
      <c r="G17" s="23">
        <f>'Sch DG-R Cust Fcst'!$C16*'Non-Residential TSM UC Adj'!G17</f>
        <v>0</v>
      </c>
      <c r="H17" s="23">
        <f>'Sch DG-R Cust Fcst'!$C16*'Non-Residential TSM UC Adj'!H17</f>
        <v>0</v>
      </c>
      <c r="I17" s="41">
        <f>IF(SUM(F17:H17)=0,0,SUM(F17:H17)/'Sch DG-R Cust Fcst'!C16)</f>
        <v>0</v>
      </c>
      <c r="J17" s="109">
        <f>'Sch DG-R Cust Fcst'!$D16*'Non-Residential TSM UC Adj'!J17</f>
        <v>9687.5686087994509</v>
      </c>
      <c r="K17" s="23">
        <f>'Sch DG-R Cust Fcst'!$D16*'Non-Residential TSM UC Adj'!K17</f>
        <v>3881.3806159244828</v>
      </c>
      <c r="L17" s="23">
        <f>'Sch DG-R Cust Fcst'!$D16*'Non-Residential TSM UC Adj'!L17</f>
        <v>855.2930770275243</v>
      </c>
      <c r="M17" s="41">
        <f>IF(SUM(J17:L17)=0,0,SUM(J17:L17)/'Sch DG-R Cust Fcst'!D16)</f>
        <v>14424.242301751459</v>
      </c>
      <c r="N17" s="109">
        <f>'Sch DG-R Cust Fcst'!$E16*'Non-Residential TSM UC Adj'!N17</f>
        <v>137572.58078294309</v>
      </c>
      <c r="O17" s="23">
        <f>'Sch DG-R Cust Fcst'!$E16*'Non-Residential TSM UC Adj'!O17</f>
        <v>29110.35461943362</v>
      </c>
      <c r="P17" s="23">
        <f>'Sch DG-R Cust Fcst'!$E16*'Non-Residential TSM UC Adj'!P17</f>
        <v>12829.396155412865</v>
      </c>
      <c r="Q17" s="41">
        <f>IF(SUM(N17:P17)=0,0,SUM(N17:P17)/'Sch DG-R Cust Fcst'!E16)</f>
        <v>11967.488770519303</v>
      </c>
      <c r="R17" s="109">
        <f t="shared" si="1"/>
        <v>147260.14939174254</v>
      </c>
      <c r="S17" s="23">
        <f t="shared" si="2"/>
        <v>32991.735235358101</v>
      </c>
      <c r="T17" s="23">
        <f t="shared" si="3"/>
        <v>13684.689232440389</v>
      </c>
      <c r="U17" s="41">
        <f>IF(SUM(R17:T17)=0,0,SUM(R17:T17)/'Sch DG-R Cust Fcst'!F16)</f>
        <v>12121.035866221315</v>
      </c>
      <c r="V17" s="33">
        <f>'Sch DG-R Cust Fcst'!$G16*'Non-Residential TSM UC Adj'!R17</f>
        <v>0</v>
      </c>
      <c r="W17" s="33">
        <f>'Sch DG-R Cust Fcst'!$G16*'Non-Residential TSM UC Adj'!S17</f>
        <v>0</v>
      </c>
      <c r="X17" s="33">
        <f>'Sch DG-R Cust Fcst'!$G16*'Non-Residential TSM UC Adj'!T17</f>
        <v>0</v>
      </c>
      <c r="Y17" s="41">
        <f>IF(SUM(V17:X17)=0,0,SUM(V17:X17)/'Sch DG-R Cust Fcst'!G16)</f>
        <v>0</v>
      </c>
      <c r="Z17" s="23">
        <f t="shared" si="4"/>
        <v>147260.14939174254</v>
      </c>
      <c r="AA17" s="23">
        <f t="shared" si="0"/>
        <v>32991.735235358101</v>
      </c>
      <c r="AB17" s="23">
        <f t="shared" si="0"/>
        <v>13684.689232440389</v>
      </c>
      <c r="AC17" s="41">
        <f>IF(SUM(Z17:AB17)=0,0,SUM(Z17:AB17)/'Sch DG-R Cust Fcst'!H16)</f>
        <v>12121.035866221315</v>
      </c>
    </row>
    <row r="18" spans="1:29">
      <c r="A18" s="126" t="s">
        <v>12</v>
      </c>
      <c r="B18" s="109">
        <f>'Sch DG-R Cust Fcst'!$B17*'Non-Residential TSM UC Adj'!J18</f>
        <v>0</v>
      </c>
      <c r="C18" s="23">
        <f>'Sch DG-R Cust Fcst'!$B17*'Non-Residential TSM UC Adj'!K18</f>
        <v>0</v>
      </c>
      <c r="D18" s="23">
        <f>'Sch DG-R Cust Fcst'!$B17*'Non-Residential TSM UC Adj'!L18</f>
        <v>0</v>
      </c>
      <c r="E18" s="41">
        <f>IF(SUM(B18:D18)=0,0,SUM(B18:D18)/'Sch DG-R Cust Fcst'!B17)</f>
        <v>0</v>
      </c>
      <c r="F18" s="109">
        <f>'Sch DG-R Cust Fcst'!$C17*'Non-Residential TSM UC Adj'!J18</f>
        <v>0</v>
      </c>
      <c r="G18" s="23">
        <f>'Sch DG-R Cust Fcst'!$C17*'Non-Residential TSM UC Adj'!K18</f>
        <v>0</v>
      </c>
      <c r="H18" s="23">
        <f>'Sch DG-R Cust Fcst'!$C17*'Non-Residential TSM UC Adj'!L18</f>
        <v>0</v>
      </c>
      <c r="I18" s="41">
        <f>IF(SUM(F18:H18)=0,0,SUM(F18:H18)/'Sch DG-R Cust Fcst'!C17)</f>
        <v>0</v>
      </c>
      <c r="J18" s="109">
        <f>'Sch DG-R Cust Fcst'!$D17*'Non-Residential TSM UC Adj'!J18</f>
        <v>38750.274435197804</v>
      </c>
      <c r="K18" s="23">
        <f>'Sch DG-R Cust Fcst'!$D17*'Non-Residential TSM UC Adj'!K18</f>
        <v>12664.764020355004</v>
      </c>
      <c r="L18" s="23">
        <f>'Sch DG-R Cust Fcst'!$D17*'Non-Residential TSM UC Adj'!L18</f>
        <v>1710.5861540550486</v>
      </c>
      <c r="M18" s="41">
        <f>IF(SUM(J18:L18)=0,0,SUM(J18:L18)/'Sch DG-R Cust Fcst'!D17)</f>
        <v>26562.812304803927</v>
      </c>
      <c r="N18" s="109">
        <f>'Sch DG-R Cust Fcst'!$E17*'Non-Residential TSM UC Adj'!N18</f>
        <v>256802.15079482709</v>
      </c>
      <c r="O18" s="23">
        <f>'Sch DG-R Cust Fcst'!$E17*'Non-Residential TSM UC Adj'!O18</f>
        <v>44326.674071242509</v>
      </c>
      <c r="P18" s="23">
        <f>'Sch DG-R Cust Fcst'!$E17*'Non-Residential TSM UC Adj'!P18</f>
        <v>11974.10307838534</v>
      </c>
      <c r="Q18" s="41">
        <f>IF(SUM(N18:P18)=0,0,SUM(N18:P18)/'Sch DG-R Cust Fcst'!E17)</f>
        <v>22364.494853175354</v>
      </c>
      <c r="R18" s="109">
        <f t="shared" si="1"/>
        <v>295552.42523002491</v>
      </c>
      <c r="S18" s="23">
        <f t="shared" si="2"/>
        <v>56991.438091597513</v>
      </c>
      <c r="T18" s="23">
        <f t="shared" si="3"/>
        <v>13684.689232440389</v>
      </c>
      <c r="U18" s="41">
        <f>IF(SUM(R18:T18)=0,0,SUM(R18:T18)/'Sch DG-R Cust Fcst'!F17)</f>
        <v>22889.284534628925</v>
      </c>
      <c r="V18" s="33">
        <f>'Sch DG-R Cust Fcst'!$G17*'Non-Residential TSM UC Adj'!R18</f>
        <v>0</v>
      </c>
      <c r="W18" s="33">
        <f>'Sch DG-R Cust Fcst'!$G17*'Non-Residential TSM UC Adj'!S18</f>
        <v>9389.781938826658</v>
      </c>
      <c r="X18" s="33">
        <f>'Sch DG-R Cust Fcst'!$G17*'Non-Residential TSM UC Adj'!T18</f>
        <v>2870.3758899829186</v>
      </c>
      <c r="Y18" s="41">
        <f>IF(SUM(V18:X18)=0,0,SUM(V18:X18)/'Sch DG-R Cust Fcst'!G17)</f>
        <v>4086.7192762698592</v>
      </c>
      <c r="Z18" s="23">
        <f t="shared" si="4"/>
        <v>295552.42523002491</v>
      </c>
      <c r="AA18" s="23">
        <f t="shared" si="0"/>
        <v>66381.220030424171</v>
      </c>
      <c r="AB18" s="23">
        <f t="shared" si="0"/>
        <v>16555.065122423308</v>
      </c>
      <c r="AC18" s="41">
        <f>IF(SUM(Z18:AB18)=0,0,SUM(Z18:AB18)/'Sch DG-R Cust Fcst'!H17)</f>
        <v>19920.458441203809</v>
      </c>
    </row>
    <row r="19" spans="1:29">
      <c r="A19" s="126" t="s">
        <v>13</v>
      </c>
      <c r="B19" s="109">
        <f>'Sch DG-R Cust Fcst'!$B18*'Non-Residential TSM UC Adj'!J19</f>
        <v>0</v>
      </c>
      <c r="C19" s="23">
        <f>'Sch DG-R Cust Fcst'!$B18*'Non-Residential TSM UC Adj'!K19</f>
        <v>0</v>
      </c>
      <c r="D19" s="23">
        <f>'Sch DG-R Cust Fcst'!$B18*'Non-Residential TSM UC Adj'!L19</f>
        <v>0</v>
      </c>
      <c r="E19" s="41">
        <f>IF(SUM(B19:D19)=0,0,SUM(B19:D19)/'Sch DG-R Cust Fcst'!B18)</f>
        <v>0</v>
      </c>
      <c r="F19" s="109">
        <f>'Sch DG-R Cust Fcst'!$C18*'Non-Residential TSM UC Adj'!J19</f>
        <v>0</v>
      </c>
      <c r="G19" s="23">
        <f>'Sch DG-R Cust Fcst'!$C18*'Non-Residential TSM UC Adj'!K19</f>
        <v>0</v>
      </c>
      <c r="H19" s="23">
        <f>'Sch DG-R Cust Fcst'!$C18*'Non-Residential TSM UC Adj'!L19</f>
        <v>0</v>
      </c>
      <c r="I19" s="41">
        <f>IF(SUM(F19:H19)=0,0,SUM(F19:H19)/'Sch DG-R Cust Fcst'!C18)</f>
        <v>0</v>
      </c>
      <c r="J19" s="109">
        <f>'Sch DG-R Cust Fcst'!$D18*'Non-Residential TSM UC Adj'!J19</f>
        <v>0</v>
      </c>
      <c r="K19" s="23">
        <f>'Sch DG-R Cust Fcst'!$D18*'Non-Residential TSM UC Adj'!K19</f>
        <v>0</v>
      </c>
      <c r="L19" s="23">
        <f>'Sch DG-R Cust Fcst'!$D18*'Non-Residential TSM UC Adj'!L19</f>
        <v>0</v>
      </c>
      <c r="M19" s="41">
        <f>IF(SUM(J19:L19)=0,0,SUM(J19:L19)/'Sch DG-R Cust Fcst'!D18)</f>
        <v>0</v>
      </c>
      <c r="N19" s="109">
        <f>'Sch DG-R Cust Fcst'!$E18*'Non-Residential TSM UC Adj'!N19</f>
        <v>99250.808311936678</v>
      </c>
      <c r="O19" s="23">
        <f>'Sch DG-R Cust Fcst'!$E18*'Non-Residential TSM UC Adj'!O19</f>
        <v>31051.044927395862</v>
      </c>
      <c r="P19" s="23">
        <f>'Sch DG-R Cust Fcst'!$E18*'Non-Residential TSM UC Adj'!P19</f>
        <v>6842.3446162201944</v>
      </c>
      <c r="Q19" s="41">
        <f>IF(SUM(N19:P19)=0,0,SUM(N19:P19)/'Sch DG-R Cust Fcst'!E18)</f>
        <v>17143.024731944093</v>
      </c>
      <c r="R19" s="109">
        <f t="shared" si="1"/>
        <v>99250.808311936678</v>
      </c>
      <c r="S19" s="23">
        <f t="shared" si="2"/>
        <v>31051.044927395862</v>
      </c>
      <c r="T19" s="23">
        <f t="shared" si="3"/>
        <v>6842.3446162201944</v>
      </c>
      <c r="U19" s="41">
        <f>IF(SUM(R19:T19)=0,0,SUM(R19:T19)/'Sch DG-R Cust Fcst'!F18)</f>
        <v>17143.024731944093</v>
      </c>
      <c r="V19" s="33">
        <f>'Sch DG-R Cust Fcst'!$G18*'Non-Residential TSM UC Adj'!R19</f>
        <v>0</v>
      </c>
      <c r="W19" s="33">
        <f>'Sch DG-R Cust Fcst'!$G18*'Non-Residential TSM UC Adj'!S19</f>
        <v>0</v>
      </c>
      <c r="X19" s="33">
        <f>'Sch DG-R Cust Fcst'!$G18*'Non-Residential TSM UC Adj'!T19</f>
        <v>0</v>
      </c>
      <c r="Y19" s="41">
        <f>IF(SUM(V19:X19)=0,0,SUM(V19:X19)/'Sch DG-R Cust Fcst'!G18)</f>
        <v>0</v>
      </c>
      <c r="Z19" s="23">
        <f t="shared" si="4"/>
        <v>99250.808311936678</v>
      </c>
      <c r="AA19" s="23">
        <f t="shared" si="0"/>
        <v>31051.044927395862</v>
      </c>
      <c r="AB19" s="23">
        <f t="shared" si="0"/>
        <v>6842.3446162201944</v>
      </c>
      <c r="AC19" s="41">
        <f>IF(SUM(Z19:AB19)=0,0,SUM(Z19:AB19)/'Sch DG-R Cust Fcst'!H18)</f>
        <v>17143.024731944093</v>
      </c>
    </row>
    <row r="20" spans="1:29">
      <c r="A20" s="126" t="s">
        <v>108</v>
      </c>
      <c r="B20" s="109">
        <f>'Sch DG-R Cust Fcst'!$B19*'Non-Residential TSM UC Adj'!J20</f>
        <v>0</v>
      </c>
      <c r="C20" s="23">
        <f>'Sch DG-R Cust Fcst'!$B19*'Non-Residential TSM UC Adj'!K20</f>
        <v>0</v>
      </c>
      <c r="D20" s="23">
        <f>'Sch DG-R Cust Fcst'!$B19*'Non-Residential TSM UC Adj'!L20</f>
        <v>0</v>
      </c>
      <c r="E20" s="41">
        <f>IF(SUM(B20:D20)=0,0,SUM(B20:D20)/'Sch DG-R Cust Fcst'!B19)</f>
        <v>0</v>
      </c>
      <c r="F20" s="109">
        <f>'Sch DG-R Cust Fcst'!$C19*'Non-Residential TSM UC Adj'!J20</f>
        <v>0</v>
      </c>
      <c r="G20" s="23">
        <f>'Sch DG-R Cust Fcst'!$C19*'Non-Residential TSM UC Adj'!K20</f>
        <v>0</v>
      </c>
      <c r="H20" s="23">
        <f>'Sch DG-R Cust Fcst'!$C19*'Non-Residential TSM UC Adj'!L20</f>
        <v>0</v>
      </c>
      <c r="I20" s="41">
        <f>IF(SUM(F20:H20)=0,0,SUM(F20:H20)/'Sch DG-R Cust Fcst'!C19)</f>
        <v>0</v>
      </c>
      <c r="J20" s="109">
        <f>'Sch DG-R Cust Fcst'!$D19*'Non-Residential TSM UC Adj'!J20</f>
        <v>0</v>
      </c>
      <c r="K20" s="23">
        <f>'Sch DG-R Cust Fcst'!$D19*'Non-Residential TSM UC Adj'!K20</f>
        <v>0</v>
      </c>
      <c r="L20" s="23">
        <f>'Sch DG-R Cust Fcst'!$D19*'Non-Residential TSM UC Adj'!L20</f>
        <v>0</v>
      </c>
      <c r="M20" s="41">
        <f>IF(SUM(J20:L20)=0,0,SUM(J20:L20)/'Sch DG-R Cust Fcst'!D19)</f>
        <v>0</v>
      </c>
      <c r="N20" s="109">
        <f>'Sch DG-R Cust Fcst'!$E19*'Non-Residential TSM UC Adj'!N20</f>
        <v>42505.371858509359</v>
      </c>
      <c r="O20" s="23">
        <f>'Sch DG-R Cust Fcst'!$E19*'Non-Residential TSM UC Adj'!O20</f>
        <v>11644.141847773448</v>
      </c>
      <c r="P20" s="23">
        <f>'Sch DG-R Cust Fcst'!$E19*'Non-Residential TSM UC Adj'!P20</f>
        <v>2565.8792310825729</v>
      </c>
      <c r="Q20" s="41">
        <f>IF(SUM(N20:P20)=0,0,SUM(N20:P20)/'Sch DG-R Cust Fcst'!E19)</f>
        <v>18905.130979121794</v>
      </c>
      <c r="R20" s="109">
        <f t="shared" si="1"/>
        <v>42505.371858509359</v>
      </c>
      <c r="S20" s="23">
        <f t="shared" si="2"/>
        <v>11644.141847773448</v>
      </c>
      <c r="T20" s="23">
        <f t="shared" si="3"/>
        <v>2565.8792310825729</v>
      </c>
      <c r="U20" s="41">
        <f>IF(SUM(R20:T20)=0,0,SUM(R20:T20)/'Sch DG-R Cust Fcst'!F19)</f>
        <v>18905.130979121794</v>
      </c>
      <c r="V20" s="33">
        <f>'Sch DG-R Cust Fcst'!$G19*'Non-Residential TSM UC Adj'!R20</f>
        <v>0</v>
      </c>
      <c r="W20" s="33">
        <f>'Sch DG-R Cust Fcst'!$G19*'Non-Residential TSM UC Adj'!S20</f>
        <v>3129.9273129422195</v>
      </c>
      <c r="X20" s="33">
        <f>'Sch DG-R Cust Fcst'!$G19*'Non-Residential TSM UC Adj'!T20</f>
        <v>956.79196332763956</v>
      </c>
      <c r="Y20" s="41">
        <f>IF(SUM(V20:X20)=0,0,SUM(V20:X20)/'Sch DG-R Cust Fcst'!G19)</f>
        <v>4086.7192762698592</v>
      </c>
      <c r="Z20" s="23">
        <f t="shared" si="4"/>
        <v>42505.371858509359</v>
      </c>
      <c r="AA20" s="23">
        <f t="shared" si="0"/>
        <v>14774.069160715668</v>
      </c>
      <c r="AB20" s="23">
        <f t="shared" si="0"/>
        <v>3522.6711944102126</v>
      </c>
      <c r="AC20" s="41">
        <f>IF(SUM(Z20:AB20)=0,0,SUM(Z20:AB20)/'Sch DG-R Cust Fcst'!H19)</f>
        <v>15200.528053408811</v>
      </c>
    </row>
    <row r="21" spans="1:29">
      <c r="A21" s="126" t="s">
        <v>109</v>
      </c>
      <c r="B21" s="109">
        <f>'Sch DG-R Cust Fcst'!$B20*'Non-Residential TSM UC Adj'!J21</f>
        <v>0</v>
      </c>
      <c r="C21" s="23">
        <f>'Sch DG-R Cust Fcst'!$B20*'Non-Residential TSM UC Adj'!K21</f>
        <v>0</v>
      </c>
      <c r="D21" s="23">
        <f>'Sch DG-R Cust Fcst'!$B20*'Non-Residential TSM UC Adj'!L21</f>
        <v>0</v>
      </c>
      <c r="E21" s="41">
        <f>IF(SUM(B21:D21)=0,0,SUM(B21:D21)/'Sch DG-R Cust Fcst'!B20)</f>
        <v>0</v>
      </c>
      <c r="F21" s="109">
        <f>'Sch DG-R Cust Fcst'!$C20*'Non-Residential TSM UC Adj'!J21</f>
        <v>0</v>
      </c>
      <c r="G21" s="23">
        <f>'Sch DG-R Cust Fcst'!$C20*'Non-Residential TSM UC Adj'!K21</f>
        <v>0</v>
      </c>
      <c r="H21" s="23">
        <f>'Sch DG-R Cust Fcst'!$C20*'Non-Residential TSM UC Adj'!L21</f>
        <v>0</v>
      </c>
      <c r="I21" s="41">
        <f>IF(SUM(F21:H21)=0,0,SUM(F21:H21)/'Sch DG-R Cust Fcst'!C20)</f>
        <v>0</v>
      </c>
      <c r="J21" s="109">
        <f>'Sch DG-R Cust Fcst'!$D20*'Non-Residential TSM UC Adj'!J21</f>
        <v>0</v>
      </c>
      <c r="K21" s="23">
        <f>'Sch DG-R Cust Fcst'!$D20*'Non-Residential TSM UC Adj'!K21</f>
        <v>0</v>
      </c>
      <c r="L21" s="23">
        <f>'Sch DG-R Cust Fcst'!$D20*'Non-Residential TSM UC Adj'!L21</f>
        <v>0</v>
      </c>
      <c r="M21" s="41">
        <f>IF(SUM(J21:L21)=0,0,SUM(J21:L21)/'Sch DG-R Cust Fcst'!D20)</f>
        <v>0</v>
      </c>
      <c r="N21" s="109">
        <f>'Sch DG-R Cust Fcst'!$E20*'Non-Residential TSM UC Adj'!N21</f>
        <v>14168.457286169785</v>
      </c>
      <c r="O21" s="23">
        <f>'Sch DG-R Cust Fcst'!$E20*'Non-Residential TSM UC Adj'!O21</f>
        <v>3881.3806159244828</v>
      </c>
      <c r="P21" s="23">
        <f>'Sch DG-R Cust Fcst'!$E20*'Non-Residential TSM UC Adj'!P21</f>
        <v>855.2930770275243</v>
      </c>
      <c r="Q21" s="41">
        <f>IF(SUM(N21:P21)=0,0,SUM(N21:P21)/'Sch DG-R Cust Fcst'!E20)</f>
        <v>18905.13097912179</v>
      </c>
      <c r="R21" s="109">
        <f t="shared" si="1"/>
        <v>14168.457286169785</v>
      </c>
      <c r="S21" s="23">
        <f t="shared" si="2"/>
        <v>3881.3806159244828</v>
      </c>
      <c r="T21" s="23">
        <f t="shared" si="3"/>
        <v>855.2930770275243</v>
      </c>
      <c r="U21" s="41">
        <f>IF(SUM(R21:T21)=0,0,SUM(R21:T21)/'Sch DG-R Cust Fcst'!F20)</f>
        <v>18905.13097912179</v>
      </c>
      <c r="V21" s="33">
        <f>'Sch DG-R Cust Fcst'!$G20*'Non-Residential TSM UC Adj'!R21</f>
        <v>0</v>
      </c>
      <c r="W21" s="33">
        <f>'Sch DG-R Cust Fcst'!$G20*'Non-Residential TSM UC Adj'!S21</f>
        <v>0</v>
      </c>
      <c r="X21" s="33">
        <f>'Sch DG-R Cust Fcst'!$G20*'Non-Residential TSM UC Adj'!T21</f>
        <v>0</v>
      </c>
      <c r="Y21" s="41">
        <f>IF(SUM(V21:X21)=0,0,SUM(V21:X21)/'Sch DG-R Cust Fcst'!G20)</f>
        <v>0</v>
      </c>
      <c r="Z21" s="23">
        <f t="shared" si="4"/>
        <v>14168.457286169785</v>
      </c>
      <c r="AA21" s="23">
        <f t="shared" si="0"/>
        <v>3881.3806159244828</v>
      </c>
      <c r="AB21" s="23">
        <f t="shared" si="0"/>
        <v>855.2930770275243</v>
      </c>
      <c r="AC21" s="41">
        <f>IF(SUM(Z21:AB21)=0,0,SUM(Z21:AB21)/'Sch DG-R Cust Fcst'!H20)</f>
        <v>18905.13097912179</v>
      </c>
    </row>
    <row r="22" spans="1:29">
      <c r="A22" s="124" t="s">
        <v>14</v>
      </c>
      <c r="B22" s="109">
        <f>'Sch DG-R Cust Fcst'!$B21*'Non-Residential TSM UC Adj'!J22</f>
        <v>0</v>
      </c>
      <c r="C22" s="23">
        <f>'Sch DG-R Cust Fcst'!$B21*'Non-Residential TSM UC Adj'!K22</f>
        <v>0</v>
      </c>
      <c r="D22" s="23">
        <f>'Sch DG-R Cust Fcst'!$B21*'Non-Residential TSM UC Adj'!L22</f>
        <v>0</v>
      </c>
      <c r="E22" s="41">
        <f>IF(SUM(B22:D22)=0,0,SUM(B22:D22)/'Sch DG-R Cust Fcst'!B21)</f>
        <v>0</v>
      </c>
      <c r="F22" s="109">
        <f>'Sch DG-R Cust Fcst'!$C21*'Non-Residential TSM UC Adj'!J22</f>
        <v>0</v>
      </c>
      <c r="G22" s="23">
        <f>'Sch DG-R Cust Fcst'!$C21*'Non-Residential TSM UC Adj'!K22</f>
        <v>0</v>
      </c>
      <c r="H22" s="23">
        <f>'Sch DG-R Cust Fcst'!$C21*'Non-Residential TSM UC Adj'!L22</f>
        <v>0</v>
      </c>
      <c r="I22" s="41">
        <f>IF(SUM(F22:H22)=0,0,SUM(F22:H22)/'Sch DG-R Cust Fcst'!C21)</f>
        <v>0</v>
      </c>
      <c r="J22" s="109">
        <f>'Sch DG-R Cust Fcst'!$D21*'Non-Residential TSM UC Adj'!J22</f>
        <v>0</v>
      </c>
      <c r="K22" s="23">
        <f>'Sch DG-R Cust Fcst'!$D21*'Non-Residential TSM UC Adj'!K22</f>
        <v>0</v>
      </c>
      <c r="L22" s="23">
        <f>'Sch DG-R Cust Fcst'!$D21*'Non-Residential TSM UC Adj'!L22</f>
        <v>0</v>
      </c>
      <c r="M22" s="41">
        <f>IF(SUM(J22:L22)=0,0,SUM(J22:L22)/'Sch DG-R Cust Fcst'!D21)</f>
        <v>0</v>
      </c>
      <c r="N22" s="109">
        <f>'Sch DG-R Cust Fcst'!$E21*'Non-Residential TSM UC Adj'!N22</f>
        <v>28336.91457233957</v>
      </c>
      <c r="O22" s="23">
        <f>'Sch DG-R Cust Fcst'!$E21*'Non-Residential TSM UC Adj'!O22</f>
        <v>6332.3820101775018</v>
      </c>
      <c r="P22" s="23">
        <f>'Sch DG-R Cust Fcst'!$E21*'Non-Residential TSM UC Adj'!P22</f>
        <v>855.2930770275243</v>
      </c>
      <c r="Q22" s="41">
        <f>IF(SUM(N22:P22)=0,0,SUM(N22:P22)/'Sch DG-R Cust Fcst'!E21)</f>
        <v>35524.589659544596</v>
      </c>
      <c r="R22" s="109">
        <f t="shared" si="1"/>
        <v>28336.91457233957</v>
      </c>
      <c r="S22" s="23">
        <f t="shared" si="2"/>
        <v>6332.3820101775018</v>
      </c>
      <c r="T22" s="23">
        <f t="shared" si="3"/>
        <v>855.2930770275243</v>
      </c>
      <c r="U22" s="41">
        <f>IF(SUM(R22:T22)=0,0,SUM(R22:T22)/'Sch DG-R Cust Fcst'!F21)</f>
        <v>35524.589659544596</v>
      </c>
      <c r="V22" s="33">
        <f>'Sch DG-R Cust Fcst'!$G21*'Non-Residential TSM UC Adj'!R22</f>
        <v>0</v>
      </c>
      <c r="W22" s="33">
        <f>'Sch DG-R Cust Fcst'!$G21*'Non-Residential TSM UC Adj'!S22</f>
        <v>9389.781938826658</v>
      </c>
      <c r="X22" s="33">
        <f>'Sch DG-R Cust Fcst'!$G21*'Non-Residential TSM UC Adj'!T22</f>
        <v>2870.3758899829186</v>
      </c>
      <c r="Y22" s="41">
        <f>IF(SUM(V22:X22)=0,0,SUM(V22:X22)/'Sch DG-R Cust Fcst'!G21)</f>
        <v>4086.7192762698592</v>
      </c>
      <c r="Z22" s="23">
        <f t="shared" si="4"/>
        <v>28336.91457233957</v>
      </c>
      <c r="AA22" s="23">
        <f t="shared" si="0"/>
        <v>15722.16394900416</v>
      </c>
      <c r="AB22" s="23">
        <f t="shared" si="0"/>
        <v>3725.6689670104429</v>
      </c>
      <c r="AC22" s="41">
        <f>IF(SUM(Z22:AB22)=0,0,SUM(Z22:AB22)/'Sch DG-R Cust Fcst'!H21)</f>
        <v>11946.186872088545</v>
      </c>
    </row>
    <row r="23" spans="1:29">
      <c r="A23" s="126" t="s">
        <v>15</v>
      </c>
      <c r="B23" s="109">
        <f>'Sch DG-R Cust Fcst'!$B22*'Non-Residential TSM UC Adj'!J23</f>
        <v>0</v>
      </c>
      <c r="C23" s="23">
        <f>'Sch DG-R Cust Fcst'!$B22*'Non-Residential TSM UC Adj'!K23</f>
        <v>0</v>
      </c>
      <c r="D23" s="23">
        <f>'Sch DG-R Cust Fcst'!$B22*'Non-Residential TSM UC Adj'!L23</f>
        <v>0</v>
      </c>
      <c r="E23" s="41">
        <f>IF(SUM(B23:D23)=0,0,SUM(B23:D23)/'Sch DG-R Cust Fcst'!B22)</f>
        <v>0</v>
      </c>
      <c r="F23" s="109">
        <f>'Sch DG-R Cust Fcst'!$C22*'Non-Residential TSM UC Adj'!J23</f>
        <v>0</v>
      </c>
      <c r="G23" s="23">
        <f>'Sch DG-R Cust Fcst'!$C22*'Non-Residential TSM UC Adj'!K23</f>
        <v>0</v>
      </c>
      <c r="H23" s="23">
        <f>'Sch DG-R Cust Fcst'!$C22*'Non-Residential TSM UC Adj'!L23</f>
        <v>0</v>
      </c>
      <c r="I23" s="41">
        <f>IF(SUM(F23:H23)=0,0,SUM(F23:H23)/'Sch DG-R Cust Fcst'!C22)</f>
        <v>0</v>
      </c>
      <c r="J23" s="109">
        <f>'Sch DG-R Cust Fcst'!$D22*'Non-Residential TSM UC Adj'!J23</f>
        <v>0</v>
      </c>
      <c r="K23" s="23">
        <f>'Sch DG-R Cust Fcst'!$D22*'Non-Residential TSM UC Adj'!K23</f>
        <v>0</v>
      </c>
      <c r="L23" s="23">
        <f>'Sch DG-R Cust Fcst'!$D22*'Non-Residential TSM UC Adj'!L23</f>
        <v>0</v>
      </c>
      <c r="M23" s="41">
        <f>IF(SUM(J23:L23)=0,0,SUM(J23:L23)/'Sch DG-R Cust Fcst'!D22)</f>
        <v>0</v>
      </c>
      <c r="N23" s="109">
        <f>'Sch DG-R Cust Fcst'!$E22*'Non-Residential TSM UC Adj'!N23</f>
        <v>34353.01585099873</v>
      </c>
      <c r="O23" s="23">
        <f>'Sch DG-R Cust Fcst'!$E22*'Non-Residential TSM UC Adj'!O23</f>
        <v>6332.3820101775018</v>
      </c>
      <c r="P23" s="23">
        <f>'Sch DG-R Cust Fcst'!$E22*'Non-Residential TSM UC Adj'!P23</f>
        <v>855.2930770275243</v>
      </c>
      <c r="Q23" s="41">
        <f>IF(SUM(N23:P23)=0,0,SUM(N23:P23)/'Sch DG-R Cust Fcst'!E22)</f>
        <v>41540.690938203756</v>
      </c>
      <c r="R23" s="109">
        <f t="shared" si="1"/>
        <v>34353.01585099873</v>
      </c>
      <c r="S23" s="23">
        <f t="shared" si="2"/>
        <v>6332.3820101775018</v>
      </c>
      <c r="T23" s="23">
        <f t="shared" si="3"/>
        <v>855.2930770275243</v>
      </c>
      <c r="U23" s="41">
        <f>IF(SUM(R23:T23)=0,0,SUM(R23:T23)/'Sch DG-R Cust Fcst'!F22)</f>
        <v>41540.690938203756</v>
      </c>
      <c r="V23" s="33">
        <f>'Sch DG-R Cust Fcst'!$G22*'Non-Residential TSM UC Adj'!R23</f>
        <v>0</v>
      </c>
      <c r="W23" s="33">
        <f>'Sch DG-R Cust Fcst'!$G22*'Non-Residential TSM UC Adj'!S23</f>
        <v>6259.854625884439</v>
      </c>
      <c r="X23" s="33">
        <f>'Sch DG-R Cust Fcst'!$G22*'Non-Residential TSM UC Adj'!T23</f>
        <v>1913.5839266552791</v>
      </c>
      <c r="Y23" s="41">
        <f>IF(SUM(V23:X23)=0,0,SUM(V23:X23)/'Sch DG-R Cust Fcst'!G22)</f>
        <v>4086.7192762698592</v>
      </c>
      <c r="Z23" s="23">
        <f t="shared" si="4"/>
        <v>34353.01585099873</v>
      </c>
      <c r="AA23" s="23">
        <f t="shared" si="4"/>
        <v>12592.236636061942</v>
      </c>
      <c r="AB23" s="23">
        <f t="shared" si="4"/>
        <v>2768.8770036828037</v>
      </c>
      <c r="AC23" s="41">
        <f>IF(SUM(Z23:AB23)=0,0,SUM(Z23:AB23)/'Sch DG-R Cust Fcst'!H22)</f>
        <v>16571.376496914494</v>
      </c>
    </row>
    <row r="24" spans="1:29">
      <c r="A24" s="126" t="s">
        <v>16</v>
      </c>
      <c r="B24" s="109">
        <f>'Sch DG-R Cust Fcst'!$B23*'Non-Residential TSM UC Adj'!J24</f>
        <v>0</v>
      </c>
      <c r="C24" s="23">
        <f>'Sch DG-R Cust Fcst'!$B23*'Non-Residential TSM UC Adj'!K24</f>
        <v>0</v>
      </c>
      <c r="D24" s="23">
        <f>'Sch DG-R Cust Fcst'!$B23*'Non-Residential TSM UC Adj'!L24</f>
        <v>0</v>
      </c>
      <c r="E24" s="41">
        <f>IF(SUM(B24:D24)=0,0,SUM(B24:D24)/'Sch DG-R Cust Fcst'!B23)</f>
        <v>0</v>
      </c>
      <c r="F24" s="109">
        <f>'Sch DG-R Cust Fcst'!$C23*'Non-Residential TSM UC Adj'!J24</f>
        <v>0</v>
      </c>
      <c r="G24" s="23">
        <f>'Sch DG-R Cust Fcst'!$C23*'Non-Residential TSM UC Adj'!K24</f>
        <v>0</v>
      </c>
      <c r="H24" s="23">
        <f>'Sch DG-R Cust Fcst'!$C23*'Non-Residential TSM UC Adj'!L24</f>
        <v>0</v>
      </c>
      <c r="I24" s="41">
        <f>IF(SUM(F24:H24)=0,0,SUM(F24:H24)/'Sch DG-R Cust Fcst'!C23)</f>
        <v>0</v>
      </c>
      <c r="J24" s="109">
        <f>'Sch DG-R Cust Fcst'!$D23*'Non-Residential TSM UC Adj'!J24</f>
        <v>0</v>
      </c>
      <c r="K24" s="23">
        <f>'Sch DG-R Cust Fcst'!$D23*'Non-Residential TSM UC Adj'!K24</f>
        <v>0</v>
      </c>
      <c r="L24" s="23">
        <f>'Sch DG-R Cust Fcst'!$D23*'Non-Residential TSM UC Adj'!L24</f>
        <v>0</v>
      </c>
      <c r="M24" s="41">
        <f>IF(SUM(J24:L24)=0,0,SUM(J24:L24)/'Sch DG-R Cust Fcst'!D23)</f>
        <v>0</v>
      </c>
      <c r="N24" s="109">
        <f>'Sch DG-R Cust Fcst'!$E23*'Non-Residential TSM UC Adj'!N24</f>
        <v>0</v>
      </c>
      <c r="O24" s="23">
        <f>'Sch DG-R Cust Fcst'!$E23*'Non-Residential TSM UC Adj'!O24</f>
        <v>0</v>
      </c>
      <c r="P24" s="23">
        <f>'Sch DG-R Cust Fcst'!$E23*'Non-Residential TSM UC Adj'!P24</f>
        <v>0</v>
      </c>
      <c r="Q24" s="41">
        <f>IF(SUM(N24:P24)=0,0,SUM(N24:P24)/'Sch DG-R Cust Fcst'!E23)</f>
        <v>0</v>
      </c>
      <c r="R24" s="109">
        <f t="shared" si="1"/>
        <v>0</v>
      </c>
      <c r="S24" s="23">
        <f t="shared" si="2"/>
        <v>0</v>
      </c>
      <c r="T24" s="23">
        <f t="shared" si="3"/>
        <v>0</v>
      </c>
      <c r="U24" s="41">
        <f>IF(SUM(R24:T24)=0,0,SUM(R24:T24)/'Sch DG-R Cust Fcst'!F23)</f>
        <v>0</v>
      </c>
      <c r="V24" s="33">
        <f>'Sch DG-R Cust Fcst'!$G23*'Non-Residential TSM UC Adj'!R24</f>
        <v>0</v>
      </c>
      <c r="W24" s="33">
        <f>'Sch DG-R Cust Fcst'!$G23*'Non-Residential TSM UC Adj'!S24</f>
        <v>0</v>
      </c>
      <c r="X24" s="33">
        <f>'Sch DG-R Cust Fcst'!$G23*'Non-Residential TSM UC Adj'!T24</f>
        <v>0</v>
      </c>
      <c r="Y24" s="41">
        <f>IF(SUM(V24:X24)=0,0,SUM(V24:X24)/'Sch DG-R Cust Fcst'!G23)</f>
        <v>0</v>
      </c>
      <c r="Z24" s="23">
        <f t="shared" si="4"/>
        <v>0</v>
      </c>
      <c r="AA24" s="23">
        <f t="shared" si="4"/>
        <v>0</v>
      </c>
      <c r="AB24" s="23">
        <f t="shared" si="4"/>
        <v>0</v>
      </c>
      <c r="AC24" s="41">
        <f>IF(SUM(Z24:AB24)=0,0,SUM(Z24:AB24)/'Sch DG-R Cust Fcst'!H23)</f>
        <v>0</v>
      </c>
    </row>
    <row r="25" spans="1:29">
      <c r="A25" s="126" t="s">
        <v>17</v>
      </c>
      <c r="B25" s="109">
        <f>'Sch DG-R Cust Fcst'!$B24*'Non-Residential TSM UC Adj'!J25</f>
        <v>0</v>
      </c>
      <c r="C25" s="23">
        <f>'Sch DG-R Cust Fcst'!$B24*'Non-Residential TSM UC Adj'!K25</f>
        <v>0</v>
      </c>
      <c r="D25" s="23">
        <f>'Sch DG-R Cust Fcst'!$B24*'Non-Residential TSM UC Adj'!L25</f>
        <v>0</v>
      </c>
      <c r="E25" s="41">
        <f>IF(SUM(B25:D25)=0,0,SUM(B25:D25)/'Sch DG-R Cust Fcst'!B24)</f>
        <v>0</v>
      </c>
      <c r="F25" s="109">
        <f>'Sch DG-R Cust Fcst'!$C24*'Non-Residential TSM UC Adj'!J25</f>
        <v>0</v>
      </c>
      <c r="G25" s="23">
        <f>'Sch DG-R Cust Fcst'!$C24*'Non-Residential TSM UC Adj'!K25</f>
        <v>0</v>
      </c>
      <c r="H25" s="23">
        <f>'Sch DG-R Cust Fcst'!$C24*'Non-Residential TSM UC Adj'!L25</f>
        <v>0</v>
      </c>
      <c r="I25" s="41">
        <f>IF(SUM(F25:H25)=0,0,SUM(F25:H25)/'Sch DG-R Cust Fcst'!C24)</f>
        <v>0</v>
      </c>
      <c r="J25" s="109">
        <f>'Sch DG-R Cust Fcst'!$D24*'Non-Residential TSM UC Adj'!J25</f>
        <v>0</v>
      </c>
      <c r="K25" s="23">
        <f>'Sch DG-R Cust Fcst'!$D24*'Non-Residential TSM UC Adj'!K25</f>
        <v>0</v>
      </c>
      <c r="L25" s="23">
        <f>'Sch DG-R Cust Fcst'!$D24*'Non-Residential TSM UC Adj'!L25</f>
        <v>0</v>
      </c>
      <c r="M25" s="41">
        <f>IF(SUM(J25:L25)=0,0,SUM(J25:L25)/'Sch DG-R Cust Fcst'!D24)</f>
        <v>0</v>
      </c>
      <c r="N25" s="109">
        <f>'Sch DG-R Cust Fcst'!$E24*'Non-Residential TSM UC Adj'!N25</f>
        <v>0</v>
      </c>
      <c r="O25" s="23">
        <f>'Sch DG-R Cust Fcst'!$E24*'Non-Residential TSM UC Adj'!O25</f>
        <v>0</v>
      </c>
      <c r="P25" s="23">
        <f>'Sch DG-R Cust Fcst'!$E24*'Non-Residential TSM UC Adj'!P25</f>
        <v>0</v>
      </c>
      <c r="Q25" s="41">
        <f>IF(SUM(N25:P25)=0,0,SUM(N25:P25)/'Sch DG-R Cust Fcst'!E24)</f>
        <v>0</v>
      </c>
      <c r="R25" s="109">
        <f t="shared" si="1"/>
        <v>0</v>
      </c>
      <c r="S25" s="23">
        <f t="shared" si="2"/>
        <v>0</v>
      </c>
      <c r="T25" s="23">
        <f t="shared" si="3"/>
        <v>0</v>
      </c>
      <c r="U25" s="41">
        <f>IF(SUM(R25:T25)=0,0,SUM(R25:T25)/'Sch DG-R Cust Fcst'!F24)</f>
        <v>0</v>
      </c>
      <c r="V25" s="33">
        <f>'Sch DG-R Cust Fcst'!$G24*'Non-Residential TSM UC Adj'!R25</f>
        <v>0</v>
      </c>
      <c r="W25" s="33">
        <f>'Sch DG-R Cust Fcst'!$G24*'Non-Residential TSM UC Adj'!S25</f>
        <v>3129.9273129422195</v>
      </c>
      <c r="X25" s="33">
        <f>'Sch DG-R Cust Fcst'!$G24*'Non-Residential TSM UC Adj'!T25</f>
        <v>956.79196332763956</v>
      </c>
      <c r="Y25" s="41">
        <f>IF(SUM(V25:X25)=0,0,SUM(V25:X25)/'Sch DG-R Cust Fcst'!G24)</f>
        <v>4086.7192762698592</v>
      </c>
      <c r="Z25" s="23">
        <f t="shared" si="4"/>
        <v>0</v>
      </c>
      <c r="AA25" s="23">
        <f t="shared" si="4"/>
        <v>3129.9273129422195</v>
      </c>
      <c r="AB25" s="23">
        <f t="shared" si="4"/>
        <v>956.79196332763956</v>
      </c>
      <c r="AC25" s="41">
        <f>IF(SUM(Z25:AB25)=0,0,SUM(Z25:AB25)/'Sch DG-R Cust Fcst'!H24)</f>
        <v>4086.7192762698592</v>
      </c>
    </row>
    <row r="26" spans="1:29">
      <c r="A26" s="126" t="s">
        <v>18</v>
      </c>
      <c r="B26" s="109">
        <f>'Sch DG-R Cust Fcst'!$B25*'Non-Residential TSM UC Adj'!J26</f>
        <v>0</v>
      </c>
      <c r="C26" s="23">
        <f>'Sch DG-R Cust Fcst'!$B25*'Non-Residential TSM UC Adj'!K26</f>
        <v>0</v>
      </c>
      <c r="D26" s="23">
        <f>'Sch DG-R Cust Fcst'!$B25*'Non-Residential TSM UC Adj'!L26</f>
        <v>0</v>
      </c>
      <c r="E26" s="41">
        <f>IF(SUM(B26:D26)=0,0,SUM(B26:D26)/'Sch DG-R Cust Fcst'!B25)</f>
        <v>0</v>
      </c>
      <c r="F26" s="109">
        <f>'Sch DG-R Cust Fcst'!$C25*'Non-Residential TSM UC Adj'!J26</f>
        <v>0</v>
      </c>
      <c r="G26" s="23">
        <f>'Sch DG-R Cust Fcst'!$C25*'Non-Residential TSM UC Adj'!K26</f>
        <v>0</v>
      </c>
      <c r="H26" s="23">
        <f>'Sch DG-R Cust Fcst'!$C25*'Non-Residential TSM UC Adj'!L26</f>
        <v>0</v>
      </c>
      <c r="I26" s="41">
        <f>IF(SUM(F26:H26)=0,0,SUM(F26:H26)/'Sch DG-R Cust Fcst'!C25)</f>
        <v>0</v>
      </c>
      <c r="J26" s="109">
        <f>'Sch DG-R Cust Fcst'!$D25*'Non-Residential TSM UC Adj'!J26</f>
        <v>0</v>
      </c>
      <c r="K26" s="23">
        <f>'Sch DG-R Cust Fcst'!$D25*'Non-Residential TSM UC Adj'!K26</f>
        <v>0</v>
      </c>
      <c r="L26" s="23">
        <f>'Sch DG-R Cust Fcst'!$D25*'Non-Residential TSM UC Adj'!L26</f>
        <v>0</v>
      </c>
      <c r="M26" s="41">
        <f>IF(SUM(J26:L26)=0,0,SUM(J26:L26)/'Sch DG-R Cust Fcst'!D25)</f>
        <v>0</v>
      </c>
      <c r="N26" s="109">
        <f>'Sch DG-R Cust Fcst'!$E25*'Non-Residential TSM UC Adj'!N26</f>
        <v>0</v>
      </c>
      <c r="O26" s="23">
        <f>'Sch DG-R Cust Fcst'!$E25*'Non-Residential TSM UC Adj'!O26</f>
        <v>0</v>
      </c>
      <c r="P26" s="23">
        <f>'Sch DG-R Cust Fcst'!$E25*'Non-Residential TSM UC Adj'!P26</f>
        <v>0</v>
      </c>
      <c r="Q26" s="41">
        <f>IF(SUM(N26:P26)=0,0,SUM(N26:P26)/'Sch DG-R Cust Fcst'!E25)</f>
        <v>0</v>
      </c>
      <c r="R26" s="109">
        <f t="shared" si="1"/>
        <v>0</v>
      </c>
      <c r="S26" s="23">
        <f t="shared" si="2"/>
        <v>0</v>
      </c>
      <c r="T26" s="23">
        <f t="shared" si="3"/>
        <v>0</v>
      </c>
      <c r="U26" s="41">
        <f>IF(SUM(R26:T26)=0,0,SUM(R26:T26)/'Sch DG-R Cust Fcst'!F25)</f>
        <v>0</v>
      </c>
      <c r="V26" s="33">
        <f>'Sch DG-R Cust Fcst'!$G25*'Non-Residential TSM UC Adj'!R26</f>
        <v>0</v>
      </c>
      <c r="W26" s="33">
        <f>'Sch DG-R Cust Fcst'!$G25*'Non-Residential TSM UC Adj'!S26</f>
        <v>0</v>
      </c>
      <c r="X26" s="33">
        <f>'Sch DG-R Cust Fcst'!$G25*'Non-Residential TSM UC Adj'!T26</f>
        <v>0</v>
      </c>
      <c r="Y26" s="41">
        <f>IF(SUM(V26:X26)=0,0,SUM(V26:X26)/'Sch DG-R Cust Fcst'!G25)</f>
        <v>0</v>
      </c>
      <c r="Z26" s="23">
        <f t="shared" si="4"/>
        <v>0</v>
      </c>
      <c r="AA26" s="23">
        <f t="shared" si="4"/>
        <v>0</v>
      </c>
      <c r="AB26" s="23">
        <f t="shared" si="4"/>
        <v>0</v>
      </c>
      <c r="AC26" s="41">
        <f>IF(SUM(Z26:AB26)=0,0,SUM(Z26:AB26)/'Sch DG-R Cust Fcst'!H25)</f>
        <v>0</v>
      </c>
    </row>
    <row r="27" spans="1:29">
      <c r="A27" s="126" t="s">
        <v>19</v>
      </c>
      <c r="B27" s="109">
        <f>'Sch DG-R Cust Fcst'!$B26*'Non-Residential TSM UC Adj'!J27</f>
        <v>0</v>
      </c>
      <c r="C27" s="23">
        <f>'Sch DG-R Cust Fcst'!$B26*'Non-Residential TSM UC Adj'!K27</f>
        <v>0</v>
      </c>
      <c r="D27" s="23">
        <f>'Sch DG-R Cust Fcst'!$B26*'Non-Residential TSM UC Adj'!L27</f>
        <v>0</v>
      </c>
      <c r="E27" s="41">
        <f>IF(SUM(B27:D27)=0,0,SUM(B27:D27)/'Sch DG-R Cust Fcst'!B26)</f>
        <v>0</v>
      </c>
      <c r="F27" s="109">
        <f>'Sch DG-R Cust Fcst'!$C26*'Non-Residential TSM UC Adj'!J27</f>
        <v>0</v>
      </c>
      <c r="G27" s="23">
        <f>'Sch DG-R Cust Fcst'!$C26*'Non-Residential TSM UC Adj'!K27</f>
        <v>0</v>
      </c>
      <c r="H27" s="23">
        <f>'Sch DG-R Cust Fcst'!$C26*'Non-Residential TSM UC Adj'!L27</f>
        <v>0</v>
      </c>
      <c r="I27" s="41">
        <f>IF(SUM(F27:H27)=0,0,SUM(F27:H27)/'Sch DG-R Cust Fcst'!C26)</f>
        <v>0</v>
      </c>
      <c r="J27" s="109">
        <f>'Sch DG-R Cust Fcst'!$D26*'Non-Residential TSM UC Adj'!J27</f>
        <v>0</v>
      </c>
      <c r="K27" s="23">
        <f>'Sch DG-R Cust Fcst'!$D26*'Non-Residential TSM UC Adj'!K27</f>
        <v>0</v>
      </c>
      <c r="L27" s="23">
        <f>'Sch DG-R Cust Fcst'!$D26*'Non-Residential TSM UC Adj'!L27</f>
        <v>0</v>
      </c>
      <c r="M27" s="41">
        <f>IF(SUM(J27:L27)=0,0,SUM(J27:L27)/'Sch DG-R Cust Fcst'!D26)</f>
        <v>0</v>
      </c>
      <c r="N27" s="109">
        <f>'Sch DG-R Cust Fcst'!$E26*'Non-Residential TSM UC Adj'!N27</f>
        <v>0</v>
      </c>
      <c r="O27" s="23">
        <f>'Sch DG-R Cust Fcst'!$E26*'Non-Residential TSM UC Adj'!O27</f>
        <v>0</v>
      </c>
      <c r="P27" s="23">
        <f>'Sch DG-R Cust Fcst'!$E26*'Non-Residential TSM UC Adj'!P27</f>
        <v>0</v>
      </c>
      <c r="Q27" s="41">
        <f>IF(SUM(N27:P27)=0,0,SUM(N27:P27)/'Sch DG-R Cust Fcst'!E26)</f>
        <v>0</v>
      </c>
      <c r="R27" s="109">
        <f t="shared" si="1"/>
        <v>0</v>
      </c>
      <c r="S27" s="23">
        <f t="shared" si="2"/>
        <v>0</v>
      </c>
      <c r="T27" s="23">
        <f t="shared" si="3"/>
        <v>0</v>
      </c>
      <c r="U27" s="41">
        <f>IF(SUM(R27:T27)=0,0,SUM(R27:T27)/'Sch DG-R Cust Fcst'!F26)</f>
        <v>0</v>
      </c>
      <c r="V27" s="33">
        <f>'Sch DG-R Cust Fcst'!$G26*'Non-Residential TSM UC Adj'!R27</f>
        <v>0</v>
      </c>
      <c r="W27" s="33">
        <f>'Sch DG-R Cust Fcst'!$G26*'Non-Residential TSM UC Adj'!S27</f>
        <v>0</v>
      </c>
      <c r="X27" s="33">
        <f>'Sch DG-R Cust Fcst'!$G26*'Non-Residential TSM UC Adj'!T27</f>
        <v>0</v>
      </c>
      <c r="Y27" s="41">
        <f>IF(SUM(V27:X27)=0,0,SUM(V27:X27)/'Sch DG-R Cust Fcst'!G26)</f>
        <v>0</v>
      </c>
      <c r="Z27" s="23">
        <f t="shared" si="4"/>
        <v>0</v>
      </c>
      <c r="AA27" s="23">
        <f t="shared" si="4"/>
        <v>0</v>
      </c>
      <c r="AB27" s="23">
        <f t="shared" si="4"/>
        <v>0</v>
      </c>
      <c r="AC27" s="41">
        <f>IF(SUM(Z27:AB27)=0,0,SUM(Z27:AB27)/'Sch DG-R Cust Fcst'!H26)</f>
        <v>0</v>
      </c>
    </row>
    <row r="28" spans="1:29">
      <c r="A28" s="126" t="s">
        <v>20</v>
      </c>
      <c r="B28" s="109">
        <f>'Sch DG-R Cust Fcst'!$B27*'Non-Residential TSM UC Adj'!J28</f>
        <v>0</v>
      </c>
      <c r="C28" s="23">
        <f>'Sch DG-R Cust Fcst'!$B27*'Non-Residential TSM UC Adj'!K28</f>
        <v>0</v>
      </c>
      <c r="D28" s="23">
        <f>'Sch DG-R Cust Fcst'!$B27*'Non-Residential TSM UC Adj'!L28</f>
        <v>0</v>
      </c>
      <c r="E28" s="41">
        <f>IF(SUM(B28:D28)=0,0,SUM(B28:D28)/'Sch DG-R Cust Fcst'!B27)</f>
        <v>0</v>
      </c>
      <c r="F28" s="109">
        <f>'Sch DG-R Cust Fcst'!$C27*'Non-Residential TSM UC Adj'!J28</f>
        <v>0</v>
      </c>
      <c r="G28" s="23">
        <f>'Sch DG-R Cust Fcst'!$C27*'Non-Residential TSM UC Adj'!K28</f>
        <v>0</v>
      </c>
      <c r="H28" s="23">
        <f>'Sch DG-R Cust Fcst'!$C27*'Non-Residential TSM UC Adj'!L28</f>
        <v>0</v>
      </c>
      <c r="I28" s="41">
        <f>IF(SUM(F28:H28)=0,0,SUM(F28:H28)/'Sch DG-R Cust Fcst'!C27)</f>
        <v>0</v>
      </c>
      <c r="J28" s="109">
        <f>'Sch DG-R Cust Fcst'!$D27*'Non-Residential TSM UC Adj'!J28</f>
        <v>0</v>
      </c>
      <c r="K28" s="23">
        <f>'Sch DG-R Cust Fcst'!$D27*'Non-Residential TSM UC Adj'!K28</f>
        <v>0</v>
      </c>
      <c r="L28" s="23">
        <f>'Sch DG-R Cust Fcst'!$D27*'Non-Residential TSM UC Adj'!L28</f>
        <v>0</v>
      </c>
      <c r="M28" s="41">
        <f>IF(SUM(J28:L28)=0,0,SUM(J28:L28)/'Sch DG-R Cust Fcst'!D27)</f>
        <v>0</v>
      </c>
      <c r="N28" s="109">
        <f>'Sch DG-R Cust Fcst'!$E27*'Non-Residential TSM UC Adj'!N28</f>
        <v>0</v>
      </c>
      <c r="O28" s="23">
        <f>'Sch DG-R Cust Fcst'!$E27*'Non-Residential TSM UC Adj'!O28</f>
        <v>0</v>
      </c>
      <c r="P28" s="23">
        <f>'Sch DG-R Cust Fcst'!$E27*'Non-Residential TSM UC Adj'!P28</f>
        <v>0</v>
      </c>
      <c r="Q28" s="41">
        <f>IF(SUM(N28:P28)=0,0,SUM(N28:P28)/'Sch DG-R Cust Fcst'!E27)</f>
        <v>0</v>
      </c>
      <c r="R28" s="109">
        <f t="shared" si="1"/>
        <v>0</v>
      </c>
      <c r="S28" s="23">
        <f t="shared" si="2"/>
        <v>0</v>
      </c>
      <c r="T28" s="23">
        <f t="shared" si="3"/>
        <v>0</v>
      </c>
      <c r="U28" s="41">
        <f>IF(SUM(R28:T28)=0,0,SUM(R28:T28)/'Sch DG-R Cust Fcst'!F27)</f>
        <v>0</v>
      </c>
      <c r="V28" s="33">
        <f>'Sch DG-R Cust Fcst'!$G27*'Non-Residential TSM UC Adj'!R28</f>
        <v>0</v>
      </c>
      <c r="W28" s="33">
        <f>'Sch DG-R Cust Fcst'!$G27*'Non-Residential TSM UC Adj'!S28</f>
        <v>0</v>
      </c>
      <c r="X28" s="33">
        <f>'Sch DG-R Cust Fcst'!$G27*'Non-Residential TSM UC Adj'!T28</f>
        <v>0</v>
      </c>
      <c r="Y28" s="41">
        <f>IF(SUM(V28:X28)=0,0,SUM(V28:X28)/'Sch DG-R Cust Fcst'!G27)</f>
        <v>0</v>
      </c>
      <c r="Z28" s="23">
        <f t="shared" si="4"/>
        <v>0</v>
      </c>
      <c r="AA28" s="23">
        <f t="shared" si="4"/>
        <v>0</v>
      </c>
      <c r="AB28" s="23">
        <f t="shared" si="4"/>
        <v>0</v>
      </c>
      <c r="AC28" s="41">
        <f>IF(SUM(Z28:AB28)=0,0,SUM(Z28:AB28)/'Sch DG-R Cust Fcst'!H27)</f>
        <v>0</v>
      </c>
    </row>
    <row r="29" spans="1:29">
      <c r="A29" s="126" t="s">
        <v>21</v>
      </c>
      <c r="B29" s="109">
        <f>'Sch DG-R Cust Fcst'!$B28*'Non-Residential TSM UC Adj'!J29</f>
        <v>0</v>
      </c>
      <c r="C29" s="23">
        <f>'Sch DG-R Cust Fcst'!$B28*'Non-Residential TSM UC Adj'!K29</f>
        <v>0</v>
      </c>
      <c r="D29" s="23">
        <f>'Sch DG-R Cust Fcst'!$B28*'Non-Residential TSM UC Adj'!L29</f>
        <v>0</v>
      </c>
      <c r="E29" s="41">
        <f>IF(SUM(B29:D29)=0,0,SUM(B29:D29)/'Sch DG-R Cust Fcst'!B28)</f>
        <v>0</v>
      </c>
      <c r="F29" s="109">
        <f>'Sch DG-R Cust Fcst'!$C28*'Non-Residential TSM UC Adj'!J29</f>
        <v>0</v>
      </c>
      <c r="G29" s="23">
        <f>'Sch DG-R Cust Fcst'!$C28*'Non-Residential TSM UC Adj'!K29</f>
        <v>0</v>
      </c>
      <c r="H29" s="23">
        <f>'Sch DG-R Cust Fcst'!$C28*'Non-Residential TSM UC Adj'!L29</f>
        <v>0</v>
      </c>
      <c r="I29" s="41">
        <f>IF(SUM(F29:H29)=0,0,SUM(F29:H29)/'Sch DG-R Cust Fcst'!C28)</f>
        <v>0</v>
      </c>
      <c r="J29" s="109">
        <f>'Sch DG-R Cust Fcst'!$D28*'Non-Residential TSM UC Adj'!J29</f>
        <v>0</v>
      </c>
      <c r="K29" s="23">
        <f>'Sch DG-R Cust Fcst'!$D28*'Non-Residential TSM UC Adj'!K29</f>
        <v>0</v>
      </c>
      <c r="L29" s="23">
        <f>'Sch DG-R Cust Fcst'!$D28*'Non-Residential TSM UC Adj'!L29</f>
        <v>0</v>
      </c>
      <c r="M29" s="41">
        <f>IF(SUM(J29:L29)=0,0,SUM(J29:L29)/'Sch DG-R Cust Fcst'!D28)</f>
        <v>0</v>
      </c>
      <c r="N29" s="109">
        <f>'Sch DG-R Cust Fcst'!$E28*'Non-Residential TSM UC Adj'!N29</f>
        <v>0</v>
      </c>
      <c r="O29" s="23">
        <f>'Sch DG-R Cust Fcst'!$E28*'Non-Residential TSM UC Adj'!O29</f>
        <v>0</v>
      </c>
      <c r="P29" s="23">
        <f>'Sch DG-R Cust Fcst'!$E28*'Non-Residential TSM UC Adj'!P29</f>
        <v>0</v>
      </c>
      <c r="Q29" s="41">
        <f>IF(SUM(N29:P29)=0,0,SUM(N29:P29)/'Sch DG-R Cust Fcst'!E28)</f>
        <v>0</v>
      </c>
      <c r="R29" s="109">
        <f t="shared" si="1"/>
        <v>0</v>
      </c>
      <c r="S29" s="23">
        <f t="shared" si="2"/>
        <v>0</v>
      </c>
      <c r="T29" s="23">
        <f t="shared" si="3"/>
        <v>0</v>
      </c>
      <c r="U29" s="41">
        <f>IF(SUM(R29:T29)=0,0,SUM(R29:T29)/'Sch DG-R Cust Fcst'!F28)</f>
        <v>0</v>
      </c>
      <c r="V29" s="33">
        <f>'Sch DG-R Cust Fcst'!$G28*'Non-Residential TSM UC Adj'!R29</f>
        <v>0</v>
      </c>
      <c r="W29" s="33">
        <f>'Sch DG-R Cust Fcst'!$G28*'Non-Residential TSM UC Adj'!S29</f>
        <v>0</v>
      </c>
      <c r="X29" s="33">
        <f>'Sch DG-R Cust Fcst'!$G28*'Non-Residential TSM UC Adj'!T29</f>
        <v>0</v>
      </c>
      <c r="Y29" s="41">
        <f>IF(SUM(V29:X29)=0,0,SUM(V29:X29)/'Sch DG-R Cust Fcst'!G28)</f>
        <v>0</v>
      </c>
      <c r="Z29" s="23">
        <f t="shared" si="4"/>
        <v>0</v>
      </c>
      <c r="AA29" s="23">
        <f t="shared" si="4"/>
        <v>0</v>
      </c>
      <c r="AB29" s="23">
        <f t="shared" si="4"/>
        <v>0</v>
      </c>
      <c r="AC29" s="41">
        <f>IF(SUM(Z29:AB29)=0,0,SUM(Z29:AB29)/'Sch DG-R Cust Fcst'!H28)</f>
        <v>0</v>
      </c>
    </row>
    <row r="30" spans="1:29">
      <c r="A30" s="126" t="s">
        <v>22</v>
      </c>
      <c r="B30" s="109">
        <f>'Sch DG-R Cust Fcst'!$B29*'Non-Residential TSM UC Adj'!J30</f>
        <v>0</v>
      </c>
      <c r="C30" s="23">
        <f>'Sch DG-R Cust Fcst'!$B29*'Non-Residential TSM UC Adj'!K30</f>
        <v>0</v>
      </c>
      <c r="D30" s="23">
        <f>'Sch DG-R Cust Fcst'!$B29*'Non-Residential TSM UC Adj'!L30</f>
        <v>0</v>
      </c>
      <c r="E30" s="41">
        <f>IF(SUM(B30:D30)=0,0,SUM(B30:D30)/'Sch DG-R Cust Fcst'!B29)</f>
        <v>0</v>
      </c>
      <c r="F30" s="109">
        <f>'Sch DG-R Cust Fcst'!$C29*'Non-Residential TSM UC Adj'!J30</f>
        <v>0</v>
      </c>
      <c r="G30" s="23">
        <f>'Sch DG-R Cust Fcst'!$C29*'Non-Residential TSM UC Adj'!K30</f>
        <v>0</v>
      </c>
      <c r="H30" s="23">
        <f>'Sch DG-R Cust Fcst'!$C29*'Non-Residential TSM UC Adj'!L30</f>
        <v>0</v>
      </c>
      <c r="I30" s="41">
        <f>IF(SUM(F30:H30)=0,0,SUM(F30:H30)/'Sch DG-R Cust Fcst'!C29)</f>
        <v>0</v>
      </c>
      <c r="J30" s="109">
        <f>'Sch DG-R Cust Fcst'!$D29*'Non-Residential TSM UC Adj'!J30</f>
        <v>0</v>
      </c>
      <c r="K30" s="23">
        <f>'Sch DG-R Cust Fcst'!$D29*'Non-Residential TSM UC Adj'!K30</f>
        <v>0</v>
      </c>
      <c r="L30" s="23">
        <f>'Sch DG-R Cust Fcst'!$D29*'Non-Residential TSM UC Adj'!L30</f>
        <v>0</v>
      </c>
      <c r="M30" s="41">
        <f>IF(SUM(J30:L30)=0,0,SUM(J30:L30)/'Sch DG-R Cust Fcst'!D29)</f>
        <v>0</v>
      </c>
      <c r="N30" s="109">
        <f>'Sch DG-R Cust Fcst'!$E29*'Non-Residential TSM UC Adj'!N30</f>
        <v>0</v>
      </c>
      <c r="O30" s="23">
        <f>'Sch DG-R Cust Fcst'!$E29*'Non-Residential TSM UC Adj'!O30</f>
        <v>0</v>
      </c>
      <c r="P30" s="23">
        <f>'Sch DG-R Cust Fcst'!$E29*'Non-Residential TSM UC Adj'!P30</f>
        <v>0</v>
      </c>
      <c r="Q30" s="41">
        <f>IF(SUM(N30:P30)=0,0,SUM(N30:P30)/'Sch DG-R Cust Fcst'!E29)</f>
        <v>0</v>
      </c>
      <c r="R30" s="109">
        <f t="shared" si="1"/>
        <v>0</v>
      </c>
      <c r="S30" s="23">
        <f t="shared" si="2"/>
        <v>0</v>
      </c>
      <c r="T30" s="23">
        <f t="shared" si="3"/>
        <v>0</v>
      </c>
      <c r="U30" s="41">
        <f>IF(SUM(R30:T30)=0,0,SUM(R30:T30)/'Sch DG-R Cust Fcst'!F29)</f>
        <v>0</v>
      </c>
      <c r="V30" s="33">
        <f>'Sch DG-R Cust Fcst'!$G29*'Non-Residential TSM UC Adj'!R30</f>
        <v>0</v>
      </c>
      <c r="W30" s="33">
        <f>'Sch DG-R Cust Fcst'!$G29*'Non-Residential TSM UC Adj'!S30</f>
        <v>0</v>
      </c>
      <c r="X30" s="33">
        <f>'Sch DG-R Cust Fcst'!$G29*'Non-Residential TSM UC Adj'!T30</f>
        <v>0</v>
      </c>
      <c r="Y30" s="41">
        <f>IF(SUM(V30:X30)=0,0,SUM(V30:X30)/'Sch DG-R Cust Fcst'!G29)</f>
        <v>0</v>
      </c>
      <c r="Z30" s="23">
        <f t="shared" si="4"/>
        <v>0</v>
      </c>
      <c r="AA30" s="23">
        <f t="shared" si="4"/>
        <v>0</v>
      </c>
      <c r="AB30" s="23">
        <f t="shared" si="4"/>
        <v>0</v>
      </c>
      <c r="AC30" s="41">
        <f>IF(SUM(Z30:AB30)=0,0,SUM(Z30:AB30)/'Sch DG-R Cust Fcst'!H29)</f>
        <v>0</v>
      </c>
    </row>
    <row r="31" spans="1:29">
      <c r="A31" s="124" t="s">
        <v>23</v>
      </c>
      <c r="B31" s="109">
        <f>'Sch DG-R Cust Fcst'!$B30*'Non-Residential TSM UC Adj'!J31</f>
        <v>0</v>
      </c>
      <c r="C31" s="23">
        <f>'Sch DG-R Cust Fcst'!$B30*'Non-Residential TSM UC Adj'!K31</f>
        <v>0</v>
      </c>
      <c r="D31" s="23">
        <f>'Sch DG-R Cust Fcst'!$B30*'Non-Residential TSM UC Adj'!L31</f>
        <v>0</v>
      </c>
      <c r="E31" s="41">
        <f>IF(SUM(B31:D31)=0,0,SUM(B31:D31)/'Sch DG-R Cust Fcst'!B30)</f>
        <v>0</v>
      </c>
      <c r="F31" s="109">
        <f>'Sch DG-R Cust Fcst'!$C30*'Non-Residential TSM UC Adj'!J31</f>
        <v>0</v>
      </c>
      <c r="G31" s="23">
        <f>'Sch DG-R Cust Fcst'!$C30*'Non-Residential TSM UC Adj'!K31</f>
        <v>0</v>
      </c>
      <c r="H31" s="23">
        <f>'Sch DG-R Cust Fcst'!$C30*'Non-Residential TSM UC Adj'!L31</f>
        <v>0</v>
      </c>
      <c r="I31" s="41">
        <f>IF(SUM(F31:H31)=0,0,SUM(F31:H31)/'Sch DG-R Cust Fcst'!C30)</f>
        <v>0</v>
      </c>
      <c r="J31" s="109">
        <f>'Sch DG-R Cust Fcst'!$D30*'Non-Residential TSM UC Adj'!J31</f>
        <v>0</v>
      </c>
      <c r="K31" s="23">
        <f>'Sch DG-R Cust Fcst'!$D30*'Non-Residential TSM UC Adj'!K31</f>
        <v>0</v>
      </c>
      <c r="L31" s="23">
        <f>'Sch DG-R Cust Fcst'!$D30*'Non-Residential TSM UC Adj'!L31</f>
        <v>0</v>
      </c>
      <c r="M31" s="41">
        <f>IF(SUM(J31:L31)=0,0,SUM(J31:L31)/'Sch DG-R Cust Fcst'!D30)</f>
        <v>0</v>
      </c>
      <c r="N31" s="109">
        <f>'Sch DG-R Cust Fcst'!$E30*'Non-Residential TSM UC Adj'!N31</f>
        <v>0</v>
      </c>
      <c r="O31" s="23">
        <f>'Sch DG-R Cust Fcst'!$E30*'Non-Residential TSM UC Adj'!O31</f>
        <v>0</v>
      </c>
      <c r="P31" s="23">
        <f>'Sch DG-R Cust Fcst'!$E30*'Non-Residential TSM UC Adj'!P31</f>
        <v>0</v>
      </c>
      <c r="Q31" s="41">
        <f>IF(SUM(N31:P31)=0,0,SUM(N31:P31)/'Sch DG-R Cust Fcst'!E30)</f>
        <v>0</v>
      </c>
      <c r="R31" s="109">
        <f t="shared" si="1"/>
        <v>0</v>
      </c>
      <c r="S31" s="23">
        <f t="shared" si="2"/>
        <v>0</v>
      </c>
      <c r="T31" s="23">
        <f t="shared" si="3"/>
        <v>0</v>
      </c>
      <c r="U31" s="41">
        <f>IF(SUM(R31:T31)=0,0,SUM(R31:T31)/'Sch DG-R Cust Fcst'!F30)</f>
        <v>0</v>
      </c>
      <c r="V31" s="33">
        <f>'Sch DG-R Cust Fcst'!$G30*'Non-Residential TSM UC Adj'!R31</f>
        <v>0</v>
      </c>
      <c r="W31" s="33">
        <f>'Sch DG-R Cust Fcst'!$G30*'Non-Residential TSM UC Adj'!S31</f>
        <v>0</v>
      </c>
      <c r="X31" s="33">
        <f>'Sch DG-R Cust Fcst'!$G30*'Non-Residential TSM UC Adj'!T31</f>
        <v>0</v>
      </c>
      <c r="Y31" s="41">
        <f>IF(SUM(V31:X31)=0,0,SUM(V31:X31)/'Sch DG-R Cust Fcst'!G30)</f>
        <v>0</v>
      </c>
      <c r="Z31" s="23">
        <f t="shared" si="4"/>
        <v>0</v>
      </c>
      <c r="AA31" s="23">
        <f t="shared" si="4"/>
        <v>0</v>
      </c>
      <c r="AB31" s="23">
        <f t="shared" si="4"/>
        <v>0</v>
      </c>
      <c r="AC31" s="41">
        <f>IF(SUM(Z31:AB31)=0,0,SUM(Z31:AB31)/'Sch DG-R Cust Fcst'!H30)</f>
        <v>0</v>
      </c>
    </row>
    <row r="32" spans="1:29">
      <c r="A32" s="124" t="s">
        <v>24</v>
      </c>
      <c r="B32" s="109">
        <f>'Sch DG-R Cust Fcst'!$B31*'Non-Residential TSM UC Adj'!J32</f>
        <v>0</v>
      </c>
      <c r="C32" s="23">
        <f>'Sch DG-R Cust Fcst'!$B31*'Non-Residential TSM UC Adj'!K32</f>
        <v>0</v>
      </c>
      <c r="D32" s="23">
        <f>'Sch DG-R Cust Fcst'!$B31*'Non-Residential TSM UC Adj'!L32</f>
        <v>0</v>
      </c>
      <c r="E32" s="41">
        <f>IF(SUM(B32:D32)=0,0,SUM(B32:D32)/'Sch DG-R Cust Fcst'!B31)</f>
        <v>0</v>
      </c>
      <c r="F32" s="109">
        <f>'Sch DG-R Cust Fcst'!$C31*'Non-Residential TSM UC Adj'!J32</f>
        <v>0</v>
      </c>
      <c r="G32" s="23">
        <f>'Sch DG-R Cust Fcst'!$C31*'Non-Residential TSM UC Adj'!K32</f>
        <v>0</v>
      </c>
      <c r="H32" s="23">
        <f>'Sch DG-R Cust Fcst'!$C31*'Non-Residential TSM UC Adj'!L32</f>
        <v>0</v>
      </c>
      <c r="I32" s="41">
        <f>IF(SUM(F32:H32)=0,0,SUM(F32:H32)/'Sch DG-R Cust Fcst'!C31)</f>
        <v>0</v>
      </c>
      <c r="J32" s="109">
        <f>'Sch DG-R Cust Fcst'!$D31*'Non-Residential TSM UC Adj'!J32</f>
        <v>0</v>
      </c>
      <c r="K32" s="23">
        <f>'Sch DG-R Cust Fcst'!$D31*'Non-Residential TSM UC Adj'!K32</f>
        <v>0</v>
      </c>
      <c r="L32" s="23">
        <f>'Sch DG-R Cust Fcst'!$D31*'Non-Residential TSM UC Adj'!L32</f>
        <v>0</v>
      </c>
      <c r="M32" s="41">
        <f>IF(SUM(J32:L32)=0,0,SUM(J32:L32)/'Sch DG-R Cust Fcst'!D31)</f>
        <v>0</v>
      </c>
      <c r="N32" s="109">
        <f>'Sch DG-R Cust Fcst'!$E31*'Non-Residential TSM UC Adj'!N32</f>
        <v>0</v>
      </c>
      <c r="O32" s="23">
        <f>'Sch DG-R Cust Fcst'!$E31*'Non-Residential TSM UC Adj'!O32</f>
        <v>0</v>
      </c>
      <c r="P32" s="23">
        <f>'Sch DG-R Cust Fcst'!$E31*'Non-Residential TSM UC Adj'!P32</f>
        <v>0</v>
      </c>
      <c r="Q32" s="41">
        <f>IF(SUM(N32:P32)=0,0,SUM(N32:P32)/'Sch DG-R Cust Fcst'!E31)</f>
        <v>0</v>
      </c>
      <c r="R32" s="109">
        <f t="shared" si="1"/>
        <v>0</v>
      </c>
      <c r="S32" s="23">
        <f t="shared" si="2"/>
        <v>0</v>
      </c>
      <c r="T32" s="23">
        <f t="shared" si="3"/>
        <v>0</v>
      </c>
      <c r="U32" s="41">
        <f>IF(SUM(R32:T32)=0,0,SUM(R32:T32)/'Sch DG-R Cust Fcst'!F31)</f>
        <v>0</v>
      </c>
      <c r="V32" s="33">
        <f>'Sch DG-R Cust Fcst'!$G31*'Non-Residential TSM UC Adj'!R32</f>
        <v>0</v>
      </c>
      <c r="W32" s="33">
        <f>'Sch DG-R Cust Fcst'!$G31*'Non-Residential TSM UC Adj'!S32</f>
        <v>0</v>
      </c>
      <c r="X32" s="33">
        <f>'Sch DG-R Cust Fcst'!$G31*'Non-Residential TSM UC Adj'!T32</f>
        <v>0</v>
      </c>
      <c r="Y32" s="41">
        <f>IF(SUM(V32:X32)=0,0,SUM(V32:X32)/'Sch DG-R Cust Fcst'!G31)</f>
        <v>0</v>
      </c>
      <c r="Z32" s="23">
        <f t="shared" si="4"/>
        <v>0</v>
      </c>
      <c r="AA32" s="23">
        <f t="shared" si="4"/>
        <v>0</v>
      </c>
      <c r="AB32" s="23">
        <f t="shared" si="4"/>
        <v>0</v>
      </c>
      <c r="AC32" s="41">
        <f>IF(SUM(Z32:AB32)=0,0,SUM(Z32:AB32)/'Sch DG-R Cust Fcst'!H31)</f>
        <v>0</v>
      </c>
    </row>
    <row r="33" spans="1:29">
      <c r="A33" s="124" t="s">
        <v>25</v>
      </c>
      <c r="B33" s="109">
        <f>'Sch DG-R Cust Fcst'!$B32*'Non-Residential TSM UC Adj'!J33</f>
        <v>0</v>
      </c>
      <c r="C33" s="23">
        <f>'Sch DG-R Cust Fcst'!$B32*'Non-Residential TSM UC Adj'!K33</f>
        <v>0</v>
      </c>
      <c r="D33" s="23">
        <f>'Sch DG-R Cust Fcst'!$B32*'Non-Residential TSM UC Adj'!L33</f>
        <v>0</v>
      </c>
      <c r="E33" s="41">
        <f>IF(SUM(B33:D33)=0,0,SUM(B33:D33)/'Sch DG-R Cust Fcst'!B32)</f>
        <v>0</v>
      </c>
      <c r="F33" s="109">
        <f>'Sch DG-R Cust Fcst'!$C32*'Non-Residential TSM UC Adj'!J33</f>
        <v>0</v>
      </c>
      <c r="G33" s="23">
        <f>'Sch DG-R Cust Fcst'!$C32*'Non-Residential TSM UC Adj'!K33</f>
        <v>0</v>
      </c>
      <c r="H33" s="23">
        <f>'Sch DG-R Cust Fcst'!$C32*'Non-Residential TSM UC Adj'!L33</f>
        <v>0</v>
      </c>
      <c r="I33" s="41">
        <f>IF(SUM(F33:H33)=0,0,SUM(F33:H33)/'Sch DG-R Cust Fcst'!C32)</f>
        <v>0</v>
      </c>
      <c r="J33" s="109">
        <f>'Sch DG-R Cust Fcst'!$D32*'Non-Residential TSM UC Adj'!J33</f>
        <v>0</v>
      </c>
      <c r="K33" s="23">
        <f>'Sch DG-R Cust Fcst'!$D32*'Non-Residential TSM UC Adj'!K33</f>
        <v>0</v>
      </c>
      <c r="L33" s="23">
        <f>'Sch DG-R Cust Fcst'!$D32*'Non-Residential TSM UC Adj'!L33</f>
        <v>0</v>
      </c>
      <c r="M33" s="41">
        <f>IF(SUM(J33:L33)=0,0,SUM(J33:L33)/'Sch DG-R Cust Fcst'!D32)</f>
        <v>0</v>
      </c>
      <c r="N33" s="109">
        <f>'Sch DG-R Cust Fcst'!$E32*'Non-Residential TSM UC Adj'!N33</f>
        <v>0</v>
      </c>
      <c r="O33" s="23">
        <f>'Sch DG-R Cust Fcst'!$E32*'Non-Residential TSM UC Adj'!O33</f>
        <v>0</v>
      </c>
      <c r="P33" s="23">
        <f>'Sch DG-R Cust Fcst'!$E32*'Non-Residential TSM UC Adj'!P33</f>
        <v>0</v>
      </c>
      <c r="Q33" s="41">
        <f>IF(SUM(N33:P33)=0,0,SUM(N33:P33)/'Sch DG-R Cust Fcst'!E32)</f>
        <v>0</v>
      </c>
      <c r="R33" s="109">
        <f t="shared" si="1"/>
        <v>0</v>
      </c>
      <c r="S33" s="23">
        <f t="shared" si="2"/>
        <v>0</v>
      </c>
      <c r="T33" s="23">
        <f t="shared" si="3"/>
        <v>0</v>
      </c>
      <c r="U33" s="41">
        <f>IF(SUM(R33:T33)=0,0,SUM(R33:T33)/'Sch DG-R Cust Fcst'!F32)</f>
        <v>0</v>
      </c>
      <c r="V33" s="33">
        <f>'Sch DG-R Cust Fcst'!$G32*'Non-Residential TSM UC Adj'!R33</f>
        <v>0</v>
      </c>
      <c r="W33" s="33">
        <f>'Sch DG-R Cust Fcst'!$G32*'Non-Residential TSM UC Adj'!S33</f>
        <v>0</v>
      </c>
      <c r="X33" s="33">
        <f>'Sch DG-R Cust Fcst'!$G32*'Non-Residential TSM UC Adj'!T33</f>
        <v>0</v>
      </c>
      <c r="Y33" s="41">
        <f>IF(SUM(V33:X33)=0,0,SUM(V33:X33)/'Sch DG-R Cust Fcst'!G32)</f>
        <v>0</v>
      </c>
      <c r="Z33" s="23">
        <f t="shared" si="4"/>
        <v>0</v>
      </c>
      <c r="AA33" s="23">
        <f t="shared" si="4"/>
        <v>0</v>
      </c>
      <c r="AB33" s="23">
        <f t="shared" si="4"/>
        <v>0</v>
      </c>
      <c r="AC33" s="41">
        <f>IF(SUM(Z33:AB33)=0,0,SUM(Z33:AB33)/'Sch DG-R Cust Fcst'!H32)</f>
        <v>0</v>
      </c>
    </row>
    <row r="34" spans="1:29">
      <c r="A34" s="124" t="s">
        <v>111</v>
      </c>
      <c r="B34" s="109">
        <f>'Sch DG-R Cust Fcst'!$B33*'Non-Residential TSM UC Adj'!J34</f>
        <v>0</v>
      </c>
      <c r="C34" s="23">
        <f>'Sch DG-R Cust Fcst'!$B33*'Non-Residential TSM UC Adj'!K34</f>
        <v>0</v>
      </c>
      <c r="D34" s="23">
        <f>'Sch DG-R Cust Fcst'!$B33*'Non-Residential TSM UC Adj'!L34</f>
        <v>0</v>
      </c>
      <c r="E34" s="41">
        <f>IF(SUM(B34:D34)=0,0,SUM(B34:D34)/'Sch DG-R Cust Fcst'!B33)</f>
        <v>0</v>
      </c>
      <c r="F34" s="109">
        <f>'Sch DG-R Cust Fcst'!$C33*'Non-Residential TSM UC Adj'!J34</f>
        <v>0</v>
      </c>
      <c r="G34" s="23">
        <f>'Sch DG-R Cust Fcst'!$C33*'Non-Residential TSM UC Adj'!K34</f>
        <v>0</v>
      </c>
      <c r="H34" s="23">
        <f>'Sch DG-R Cust Fcst'!$C33*'Non-Residential TSM UC Adj'!L34</f>
        <v>0</v>
      </c>
      <c r="I34" s="41">
        <f>IF(SUM(F34:H34)=0,0,SUM(F34:H34)/'Sch DG-R Cust Fcst'!C33)</f>
        <v>0</v>
      </c>
      <c r="J34" s="109">
        <f>'Sch DG-R Cust Fcst'!$D33*'Non-Residential TSM UC Adj'!J34</f>
        <v>0</v>
      </c>
      <c r="K34" s="23">
        <f>'Sch DG-R Cust Fcst'!$D33*'Non-Residential TSM UC Adj'!K34</f>
        <v>0</v>
      </c>
      <c r="L34" s="23">
        <f>'Sch DG-R Cust Fcst'!$D33*'Non-Residential TSM UC Adj'!L34</f>
        <v>0</v>
      </c>
      <c r="M34" s="41">
        <f>IF(SUM(J34:L34)=0,0,SUM(J34:L34)/'Sch DG-R Cust Fcst'!D33)</f>
        <v>0</v>
      </c>
      <c r="N34" s="109">
        <f>'Sch DG-R Cust Fcst'!$E33*'Non-Residential TSM UC Adj'!N34</f>
        <v>0</v>
      </c>
      <c r="O34" s="23">
        <f>'Sch DG-R Cust Fcst'!$E33*'Non-Residential TSM UC Adj'!O34</f>
        <v>0</v>
      </c>
      <c r="P34" s="23">
        <f>'Sch DG-R Cust Fcst'!$E33*'Non-Residential TSM UC Adj'!P34</f>
        <v>0</v>
      </c>
      <c r="Q34" s="41">
        <f>IF(SUM(N34:P34)=0,0,SUM(N34:P34)/'Sch DG-R Cust Fcst'!E33)</f>
        <v>0</v>
      </c>
      <c r="R34" s="109">
        <f t="shared" si="1"/>
        <v>0</v>
      </c>
      <c r="S34" s="23">
        <f t="shared" si="2"/>
        <v>0</v>
      </c>
      <c r="T34" s="23">
        <f t="shared" si="3"/>
        <v>0</v>
      </c>
      <c r="U34" s="41">
        <f>IF(SUM(R34:T34)=0,0,SUM(R34:T34)/'Sch DG-R Cust Fcst'!F33)</f>
        <v>0</v>
      </c>
      <c r="V34" s="33">
        <f>'Sch DG-R Cust Fcst'!$G33*'Non-Residential TSM UC Adj'!R34</f>
        <v>0</v>
      </c>
      <c r="W34" s="33">
        <f>'Sch DG-R Cust Fcst'!$G33*'Non-Residential TSM UC Adj'!S34</f>
        <v>0</v>
      </c>
      <c r="X34" s="33">
        <f>'Sch DG-R Cust Fcst'!$G33*'Non-Residential TSM UC Adj'!T34</f>
        <v>0</v>
      </c>
      <c r="Y34" s="41">
        <f>IF(SUM(V34:X34)=0,0,SUM(V34:X34)/'Sch DG-R Cust Fcst'!G33)</f>
        <v>0</v>
      </c>
      <c r="Z34" s="23">
        <f t="shared" si="4"/>
        <v>0</v>
      </c>
      <c r="AA34" s="23">
        <f t="shared" si="4"/>
        <v>0</v>
      </c>
      <c r="AB34" s="23">
        <f t="shared" si="4"/>
        <v>0</v>
      </c>
      <c r="AC34" s="41">
        <f>IF(SUM(Z34:AB34)=0,0,SUM(Z34:AB34)/'Sch DG-R Cust Fcst'!H33)</f>
        <v>0</v>
      </c>
    </row>
    <row r="35" spans="1:29">
      <c r="A35" s="124" t="s">
        <v>112</v>
      </c>
      <c r="B35" s="109">
        <f>'Sch DG-R Cust Fcst'!$B34*'Non-Residential TSM UC Adj'!J35</f>
        <v>0</v>
      </c>
      <c r="C35" s="23">
        <f>'Sch DG-R Cust Fcst'!$B34*'Non-Residential TSM UC Adj'!K35</f>
        <v>0</v>
      </c>
      <c r="D35" s="23">
        <f>'Sch DG-R Cust Fcst'!$B34*'Non-Residential TSM UC Adj'!L35</f>
        <v>0</v>
      </c>
      <c r="E35" s="41">
        <f>IF(SUM(B35:D35)=0,0,SUM(B35:D35)/'Sch DG-R Cust Fcst'!B34)</f>
        <v>0</v>
      </c>
      <c r="F35" s="109">
        <f>'Sch DG-R Cust Fcst'!$C34*'Non-Residential TSM UC Adj'!J35</f>
        <v>0</v>
      </c>
      <c r="G35" s="23">
        <f>'Sch DG-R Cust Fcst'!$C34*'Non-Residential TSM UC Adj'!K35</f>
        <v>0</v>
      </c>
      <c r="H35" s="23">
        <f>'Sch DG-R Cust Fcst'!$C34*'Non-Residential TSM UC Adj'!L35</f>
        <v>0</v>
      </c>
      <c r="I35" s="41">
        <f>IF(SUM(F35:H35)=0,0,SUM(F35:H35)/'Sch DG-R Cust Fcst'!C34)</f>
        <v>0</v>
      </c>
      <c r="J35" s="109">
        <f>'Sch DG-R Cust Fcst'!$D34*'Non-Residential TSM UC Adj'!J35</f>
        <v>0</v>
      </c>
      <c r="K35" s="23">
        <f>'Sch DG-R Cust Fcst'!$D34*'Non-Residential TSM UC Adj'!K35</f>
        <v>0</v>
      </c>
      <c r="L35" s="23">
        <f>'Sch DG-R Cust Fcst'!$D34*'Non-Residential TSM UC Adj'!L35</f>
        <v>0</v>
      </c>
      <c r="M35" s="41">
        <f>IF(SUM(J35:L35)=0,0,SUM(J35:L35)/'Sch DG-R Cust Fcst'!D34)</f>
        <v>0</v>
      </c>
      <c r="N35" s="109">
        <f>'Sch DG-R Cust Fcst'!$E34*'Non-Residential TSM UC Adj'!N35</f>
        <v>0</v>
      </c>
      <c r="O35" s="23">
        <f>'Sch DG-R Cust Fcst'!$E34*'Non-Residential TSM UC Adj'!O35</f>
        <v>0</v>
      </c>
      <c r="P35" s="23">
        <f>'Sch DG-R Cust Fcst'!$E34*'Non-Residential TSM UC Adj'!P35</f>
        <v>0</v>
      </c>
      <c r="Q35" s="41">
        <f>IF(SUM(N35:P35)=0,0,SUM(N35:P35)/'Sch DG-R Cust Fcst'!E34)</f>
        <v>0</v>
      </c>
      <c r="R35" s="109">
        <f t="shared" si="1"/>
        <v>0</v>
      </c>
      <c r="S35" s="23">
        <f t="shared" si="2"/>
        <v>0</v>
      </c>
      <c r="T35" s="23">
        <f t="shared" si="3"/>
        <v>0</v>
      </c>
      <c r="U35" s="41">
        <f>IF(SUM(R35:T35)=0,0,SUM(R35:T35)/'Sch DG-R Cust Fcst'!F34)</f>
        <v>0</v>
      </c>
      <c r="V35" s="33">
        <f>'Sch DG-R Cust Fcst'!$G34*'Non-Residential TSM UC Adj'!R35</f>
        <v>0</v>
      </c>
      <c r="W35" s="33">
        <f>'Sch DG-R Cust Fcst'!$G34*'Non-Residential TSM UC Adj'!S35</f>
        <v>0</v>
      </c>
      <c r="X35" s="33">
        <f>'Sch DG-R Cust Fcst'!$G34*'Non-Residential TSM UC Adj'!T35</f>
        <v>0</v>
      </c>
      <c r="Y35" s="41">
        <f>IF(SUM(V35:X35)=0,0,SUM(V35:X35)/'Sch DG-R Cust Fcst'!G34)</f>
        <v>0</v>
      </c>
      <c r="Z35" s="23">
        <f t="shared" si="4"/>
        <v>0</v>
      </c>
      <c r="AA35" s="23">
        <f t="shared" si="4"/>
        <v>0</v>
      </c>
      <c r="AB35" s="23">
        <f t="shared" si="4"/>
        <v>0</v>
      </c>
      <c r="AC35" s="41">
        <f>IF(SUM(Z35:AB35)=0,0,SUM(Z35:AB35)/'Sch DG-R Cust Fcst'!H34)</f>
        <v>0</v>
      </c>
    </row>
    <row r="36" spans="1:29">
      <c r="A36" s="126" t="s">
        <v>26</v>
      </c>
      <c r="B36" s="109">
        <f>'Sch DG-R Cust Fcst'!$B35*'Non-Residential TSM UC Adj'!J36</f>
        <v>0</v>
      </c>
      <c r="C36" s="23">
        <f>'Sch DG-R Cust Fcst'!$B35*'Non-Residential TSM UC Adj'!K36</f>
        <v>0</v>
      </c>
      <c r="D36" s="23">
        <f>'Sch DG-R Cust Fcst'!$B35*'Non-Residential TSM UC Adj'!L36</f>
        <v>0</v>
      </c>
      <c r="E36" s="41">
        <f>IF(SUM(B36:D36)=0,0,SUM(B36:D36)/'Sch DG-R Cust Fcst'!B35)</f>
        <v>0</v>
      </c>
      <c r="F36" s="109">
        <f>'Sch DG-R Cust Fcst'!$C35*'Non-Residential TSM UC Adj'!J36</f>
        <v>0</v>
      </c>
      <c r="G36" s="23">
        <f>'Sch DG-R Cust Fcst'!$C35*'Non-Residential TSM UC Adj'!K36</f>
        <v>0</v>
      </c>
      <c r="H36" s="23">
        <f>'Sch DG-R Cust Fcst'!$C35*'Non-Residential TSM UC Adj'!L36</f>
        <v>0</v>
      </c>
      <c r="I36" s="41">
        <f>IF(SUM(F36:H36)=0,0,SUM(F36:H36)/'Sch DG-R Cust Fcst'!C35)</f>
        <v>0</v>
      </c>
      <c r="J36" s="109">
        <f>'Sch DG-R Cust Fcst'!$D35*'Non-Residential TSM UC Adj'!J36</f>
        <v>0</v>
      </c>
      <c r="K36" s="23">
        <f>'Sch DG-R Cust Fcst'!$D35*'Non-Residential TSM UC Adj'!K36</f>
        <v>0</v>
      </c>
      <c r="L36" s="23">
        <f>'Sch DG-R Cust Fcst'!$D35*'Non-Residential TSM UC Adj'!L36</f>
        <v>0</v>
      </c>
      <c r="M36" s="41">
        <f>IF(SUM(J36:L36)=0,0,SUM(J36:L36)/'Sch DG-R Cust Fcst'!D35)</f>
        <v>0</v>
      </c>
      <c r="N36" s="109">
        <f>'Sch DG-R Cust Fcst'!$E35*'Non-Residential TSM UC Adj'!N36</f>
        <v>0</v>
      </c>
      <c r="O36" s="23">
        <f>'Sch DG-R Cust Fcst'!$E35*'Non-Residential TSM UC Adj'!O36</f>
        <v>0</v>
      </c>
      <c r="P36" s="23">
        <f>'Sch DG-R Cust Fcst'!$E35*'Non-Residential TSM UC Adj'!P36</f>
        <v>0</v>
      </c>
      <c r="Q36" s="41">
        <f>IF(SUM(N36:P36)=0,0,SUM(N36:P36)/'Sch DG-R Cust Fcst'!E35)</f>
        <v>0</v>
      </c>
      <c r="R36" s="109">
        <f t="shared" si="1"/>
        <v>0</v>
      </c>
      <c r="S36" s="23">
        <f t="shared" si="2"/>
        <v>0</v>
      </c>
      <c r="T36" s="23">
        <f t="shared" si="3"/>
        <v>0</v>
      </c>
      <c r="U36" s="41">
        <f>IF(SUM(R36:T36)=0,0,SUM(R36:T36)/'Sch DG-R Cust Fcst'!F35)</f>
        <v>0</v>
      </c>
      <c r="V36" s="33">
        <f>'Sch DG-R Cust Fcst'!$G35*'Non-Residential TSM UC Adj'!R36</f>
        <v>0</v>
      </c>
      <c r="W36" s="33">
        <f>'Sch DG-R Cust Fcst'!$G35*'Non-Residential TSM UC Adj'!S36</f>
        <v>0</v>
      </c>
      <c r="X36" s="33">
        <f>'Sch DG-R Cust Fcst'!$G35*'Non-Residential TSM UC Adj'!T36</f>
        <v>0</v>
      </c>
      <c r="Y36" s="41">
        <f>IF(SUM(V36:X36)=0,0,SUM(V36:X36)/'Sch DG-R Cust Fcst'!G35)</f>
        <v>0</v>
      </c>
      <c r="Z36" s="23">
        <f t="shared" si="4"/>
        <v>0</v>
      </c>
      <c r="AA36" s="23">
        <f t="shared" si="4"/>
        <v>0</v>
      </c>
      <c r="AB36" s="23">
        <f t="shared" si="4"/>
        <v>0</v>
      </c>
      <c r="AC36" s="41">
        <f>IF(SUM(Z36:AB36)=0,0,SUM(Z36:AB36)/'Sch DG-R Cust Fcst'!H35)</f>
        <v>0</v>
      </c>
    </row>
    <row r="37" spans="1:29">
      <c r="A37" s="126" t="s">
        <v>27</v>
      </c>
      <c r="B37" s="109">
        <f>'Sch DG-R Cust Fcst'!$B36*'Non-Residential TSM UC Adj'!J37</f>
        <v>0</v>
      </c>
      <c r="C37" s="23">
        <f>'Sch DG-R Cust Fcst'!$B36*'Non-Residential TSM UC Adj'!K37</f>
        <v>0</v>
      </c>
      <c r="D37" s="23">
        <f>'Sch DG-R Cust Fcst'!$B36*'Non-Residential TSM UC Adj'!L37</f>
        <v>0</v>
      </c>
      <c r="E37" s="41">
        <f>IF(SUM(B37:D37)=0,0,SUM(B37:D37)/'Sch DG-R Cust Fcst'!B36)</f>
        <v>0</v>
      </c>
      <c r="F37" s="109">
        <f>'Sch DG-R Cust Fcst'!$C36*'Non-Residential TSM UC Adj'!J37</f>
        <v>0</v>
      </c>
      <c r="G37" s="23">
        <f>'Sch DG-R Cust Fcst'!$C36*'Non-Residential TSM UC Adj'!K37</f>
        <v>0</v>
      </c>
      <c r="H37" s="23">
        <f>'Sch DG-R Cust Fcst'!$C36*'Non-Residential TSM UC Adj'!L37</f>
        <v>0</v>
      </c>
      <c r="I37" s="41">
        <f>IF(SUM(F37:H37)=0,0,SUM(F37:H37)/'Sch DG-R Cust Fcst'!C36)</f>
        <v>0</v>
      </c>
      <c r="J37" s="109">
        <f>'Sch DG-R Cust Fcst'!$D36*'Non-Residential TSM UC Adj'!J37</f>
        <v>0</v>
      </c>
      <c r="K37" s="23">
        <f>'Sch DG-R Cust Fcst'!$D36*'Non-Residential TSM UC Adj'!K37</f>
        <v>0</v>
      </c>
      <c r="L37" s="23">
        <f>'Sch DG-R Cust Fcst'!$D36*'Non-Residential TSM UC Adj'!L37</f>
        <v>0</v>
      </c>
      <c r="M37" s="41">
        <f>IF(SUM(J37:L37)=0,0,SUM(J37:L37)/'Sch DG-R Cust Fcst'!D36)</f>
        <v>0</v>
      </c>
      <c r="N37" s="109">
        <f>'Sch DG-R Cust Fcst'!$E36*'Non-Residential TSM UC Adj'!N37</f>
        <v>0</v>
      </c>
      <c r="O37" s="23">
        <f>'Sch DG-R Cust Fcst'!$E36*'Non-Residential TSM UC Adj'!O37</f>
        <v>0</v>
      </c>
      <c r="P37" s="23">
        <f>'Sch DG-R Cust Fcst'!$E36*'Non-Residential TSM UC Adj'!P37</f>
        <v>0</v>
      </c>
      <c r="Q37" s="41">
        <f>IF(SUM(N37:P37)=0,0,SUM(N37:P37)/'Sch DG-R Cust Fcst'!E36)</f>
        <v>0</v>
      </c>
      <c r="R37" s="109">
        <f t="shared" si="1"/>
        <v>0</v>
      </c>
      <c r="S37" s="23">
        <f t="shared" si="2"/>
        <v>0</v>
      </c>
      <c r="T37" s="23">
        <f t="shared" si="3"/>
        <v>0</v>
      </c>
      <c r="U37" s="41">
        <f>IF(SUM(R37:T37)=0,0,SUM(R37:T37)/'Sch DG-R Cust Fcst'!F36)</f>
        <v>0</v>
      </c>
      <c r="V37" s="33">
        <f>'Sch DG-R Cust Fcst'!$G36*'Non-Residential TSM UC Adj'!R37</f>
        <v>0</v>
      </c>
      <c r="W37" s="33">
        <f>'Sch DG-R Cust Fcst'!$G36*'Non-Residential TSM UC Adj'!S37</f>
        <v>0</v>
      </c>
      <c r="X37" s="33">
        <f>'Sch DG-R Cust Fcst'!$G36*'Non-Residential TSM UC Adj'!T37</f>
        <v>0</v>
      </c>
      <c r="Y37" s="41">
        <f>IF(SUM(V37:X37)=0,0,SUM(V37:X37)/'Sch DG-R Cust Fcst'!G36)</f>
        <v>0</v>
      </c>
      <c r="Z37" s="23">
        <f t="shared" si="4"/>
        <v>0</v>
      </c>
      <c r="AA37" s="23">
        <f t="shared" si="4"/>
        <v>0</v>
      </c>
      <c r="AB37" s="23">
        <f t="shared" si="4"/>
        <v>0</v>
      </c>
      <c r="AC37" s="41">
        <f>IF(SUM(Z37:AB37)=0,0,SUM(Z37:AB37)/'Sch DG-R Cust Fcst'!H36)</f>
        <v>0</v>
      </c>
    </row>
    <row r="38" spans="1:29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09"/>
      <c r="S38" s="23"/>
      <c r="T38" s="23"/>
      <c r="U38" s="41"/>
      <c r="V38" s="23"/>
      <c r="W38" s="23"/>
      <c r="X38" s="23"/>
      <c r="Y38" s="14"/>
      <c r="Z38" s="23"/>
      <c r="AA38" s="23"/>
      <c r="AB38" s="23"/>
      <c r="AC38" s="14"/>
    </row>
    <row r="39" spans="1:29" ht="13.5" thickBot="1">
      <c r="A39" s="211" t="s">
        <v>2</v>
      </c>
      <c r="B39" s="241">
        <f>IF(SUM(B$7:B$37)=0,0,SUM(B$7:B$37)/'Sch DG-R Cust Fcst'!$B38)</f>
        <v>4920.0872358494044</v>
      </c>
      <c r="C39" s="242">
        <f>IF(SUM(C$7:C$37)=0,0,SUM(C$7:C$37)/'Sch DG-R Cust Fcst'!$B38)</f>
        <v>543.98447724706944</v>
      </c>
      <c r="D39" s="242">
        <f>IF(SUM(D$7:D$37)=0,0,SUM(D$7:D$37)/'Sch DG-R Cust Fcst'!$B38)</f>
        <v>231.00861885131383</v>
      </c>
      <c r="E39" s="243">
        <f>SUM(B39:D39)</f>
        <v>5695.0803319477882</v>
      </c>
      <c r="F39" s="241">
        <f>IF(SUM(F$7:F$37)=0,0,SUM(F$7:F$37)/'Sch DG-R Cust Fcst'!$C38)</f>
        <v>8339.1934513193628</v>
      </c>
      <c r="G39" s="242">
        <f>IF(SUM(G$7:G$37)=0,0,SUM(G$7:G$37)/'Sch DG-R Cust Fcst'!$C38)</f>
        <v>2881.0998696806532</v>
      </c>
      <c r="H39" s="242">
        <f>IF(SUM(H$7:H$37)=0,0,SUM(H$7:H$37)/'Sch DG-R Cust Fcst'!$C38)</f>
        <v>855.2930770275243</v>
      </c>
      <c r="I39" s="243">
        <f>SUM(F39:H39)</f>
        <v>12075.586398027539</v>
      </c>
      <c r="J39" s="241">
        <f>IF(SUM(J$7:J$37)=0,0,SUM(J$7:J$37)/'Sch DG-R Cust Fcst'!$D38)</f>
        <v>12399.773926995176</v>
      </c>
      <c r="K39" s="242">
        <f>IF(SUM(K$7:K$37)=0,0,SUM(K$7:K$37)/'Sch DG-R Cust Fcst'!$D38)</f>
        <v>2598.6669837989075</v>
      </c>
      <c r="L39" s="242">
        <f>IF(SUM(L$7:L$37)=0,0,SUM(L$7:L$37)/'Sch DG-R Cust Fcst'!$D38)</f>
        <v>564.98944276340899</v>
      </c>
      <c r="M39" s="243">
        <f>SUM(J39:L39)</f>
        <v>15563.430353557495</v>
      </c>
      <c r="N39" s="241">
        <f>IF(SUM(N$7:N$37)=0,0,SUM(N$7:N$37)/'Sch DG-R Cust Fcst'!$E38)</f>
        <v>13787.940382143266</v>
      </c>
      <c r="O39" s="242">
        <f>IF(SUM(O$7:O$37)=0,0,SUM(O$7:O$37)/'Sch DG-R Cust Fcst'!$E38)</f>
        <v>2470.7696241421099</v>
      </c>
      <c r="P39" s="242">
        <f>IF(SUM(P$7:P$37)=0,0,SUM(P$7:P$37)/'Sch DG-R Cust Fcst'!$E38)</f>
        <v>817.5717108289648</v>
      </c>
      <c r="Q39" s="243">
        <f>SUM(N39:P39)</f>
        <v>17076.28171711434</v>
      </c>
      <c r="R39" s="241">
        <f>IF(SUM(R$7:R$37)=0,0,SUM(R$7:R$37)/'Sch DG-R Cust Fcst'!$F38)</f>
        <v>13220.404944867636</v>
      </c>
      <c r="S39" s="242">
        <f>IF(SUM(S$7:S$37)=0,0,SUM(S$7:S$37)/'Sch DG-R Cust Fcst'!$F38)</f>
        <v>2468.3597608398391</v>
      </c>
      <c r="T39" s="242">
        <f>IF(SUM(T$7:T$37)=0,0,SUM(T$7:T$37)/'Sch DG-R Cust Fcst'!$F38)</f>
        <v>744.53287240351722</v>
      </c>
      <c r="U39" s="243">
        <f>SUM(R39:T39)</f>
        <v>16433.297578110993</v>
      </c>
      <c r="V39" s="241">
        <f>IF(SUM(V$7:V$37)=0,0,SUM(V$7:V$37)/'Sch DG-R Cust Fcst'!$G38)</f>
        <v>0</v>
      </c>
      <c r="W39" s="242">
        <f>IF(SUM(W$7:W$37)=0,0,SUM(W$7:W$37)/'Sch DG-R Cust Fcst'!$G38)</f>
        <v>3129.9273129422195</v>
      </c>
      <c r="X39" s="242">
        <f>IF(SUM(X$7:X$37)=0,0,SUM(X$7:X$37)/'Sch DG-R Cust Fcst'!$G38)</f>
        <v>956.79196332763956</v>
      </c>
      <c r="Y39" s="243">
        <f>SUM(V39:X39)</f>
        <v>4086.7192762698592</v>
      </c>
      <c r="Z39" s="241">
        <f>IF(SUM(Z$7:Z$37)=0,0,SUM(Z$7:Z$37)/'Sch DG-R Cust Fcst'!$H38)</f>
        <v>11725.924385882598</v>
      </c>
      <c r="AA39" s="242">
        <f>IF(SUM(AA$7:AA$37)=0,0,SUM(AA$7:AA$37)/'Sch DG-R Cust Fcst'!$H38)</f>
        <v>2543.1456580340209</v>
      </c>
      <c r="AB39" s="242">
        <f>IF(SUM(AB$7:AB$37)=0,0,SUM(AB$7:AB$37)/'Sch DG-R Cust Fcst'!$H38)</f>
        <v>768.52737833407025</v>
      </c>
      <c r="AC39" s="243">
        <f>SUM(Z39:AB39)</f>
        <v>15037.597422250688</v>
      </c>
    </row>
    <row r="40" spans="1:29">
      <c r="A40" s="21" t="s">
        <v>149</v>
      </c>
      <c r="B40" s="109">
        <f>IF(SUM(B$7:B$20)=0,0,SUM(B$7:B$20)/'Sch DG-R Cust Fcst'!$B39)</f>
        <v>4920.0872358494044</v>
      </c>
      <c r="C40" s="23">
        <f>IF(SUM(C$7:C$20)=0,0,SUM(C$7:C$20)/'Sch DG-R Cust Fcst'!$B39)</f>
        <v>543.98447724706944</v>
      </c>
      <c r="D40" s="23">
        <f>IF(SUM(D$7:D$20)=0,0,SUM(D$7:D$20)/'Sch DG-R Cust Fcst'!$B39)</f>
        <v>231.00861885131383</v>
      </c>
      <c r="E40" s="41">
        <f>SUM(B40:D40)</f>
        <v>5695.0803319477882</v>
      </c>
      <c r="F40" s="109">
        <f>IF(SUM(F$7:F$20)=0,0,SUM(F$7:F$20)/'Sch DG-R Cust Fcst'!$C39)</f>
        <v>8339.1934513193628</v>
      </c>
      <c r="G40" s="23">
        <f>IF(SUM(G$7:G$20)=0,0,SUM(G$7:G$20)/'Sch DG-R Cust Fcst'!$C39)</f>
        <v>2881.0998696806532</v>
      </c>
      <c r="H40" s="23">
        <f>IF(SUM(H$7:H$20)=0,0,SUM(H$7:H$20)/'Sch DG-R Cust Fcst'!$C39)</f>
        <v>855.2930770275243</v>
      </c>
      <c r="I40" s="41">
        <f>SUM(F40:H40)</f>
        <v>12075.586398027539</v>
      </c>
      <c r="J40" s="109">
        <f>IF(SUM(J$7:J$20)=0,0,SUM(J$7:J$20)/'Sch DG-R Cust Fcst'!$D39)</f>
        <v>12399.773926995176</v>
      </c>
      <c r="K40" s="23">
        <f>IF(SUM(K$7:K$20)=0,0,SUM(K$7:K$20)/'Sch DG-R Cust Fcst'!$D39)</f>
        <v>2598.6669837989075</v>
      </c>
      <c r="L40" s="23">
        <f>IF(SUM(L$7:L$20)=0,0,SUM(L$7:L$20)/'Sch DG-R Cust Fcst'!$D39)</f>
        <v>564.98944276340899</v>
      </c>
      <c r="M40" s="41">
        <f>SUM(J40:L40)</f>
        <v>15563.430353557495</v>
      </c>
      <c r="N40" s="109">
        <f>IF(SUM(N$7:N$20)=0,0,SUM(N$7:N$20)/'Sch DG-R Cust Fcst'!$E39)</f>
        <v>13288.016909423854</v>
      </c>
      <c r="O40" s="23">
        <f>IF(SUM(O$7:O$20)=0,0,SUM(O$7:O$20)/'Sch DG-R Cust Fcst'!$E39)</f>
        <v>2342.1240500033332</v>
      </c>
      <c r="P40" s="23">
        <f>IF(SUM(P$7:P$20)=0,0,SUM(P$7:P$20)/'Sch DG-R Cust Fcst'!$E39)</f>
        <v>815.9778502853635</v>
      </c>
      <c r="Q40" s="41">
        <f>SUM(N40:P40)</f>
        <v>16446.118809712549</v>
      </c>
      <c r="R40" s="109">
        <f>IF(SUM(R$7:R$20)=0,0,SUM(R$7:R$20)/'Sch DG-R Cust Fcst'!$F39)</f>
        <v>12844.675925929201</v>
      </c>
      <c r="S40" s="23">
        <f>IF(SUM(S$7:S$20)=0,0,SUM(S$7:S$20)/'Sch DG-R Cust Fcst'!$F39)</f>
        <v>2376.025767367516</v>
      </c>
      <c r="T40" s="23">
        <f>IF(SUM(T$7:T$20)=0,0,SUM(T$7:T$20)/'Sch DG-R Cust Fcst'!$F39)</f>
        <v>741.17650256642594</v>
      </c>
      <c r="U40" s="41">
        <f>SUM(R40:T40)</f>
        <v>15961.878195863143</v>
      </c>
      <c r="V40" s="109">
        <f>IF(SUM(V$7:V$20)=0,0,SUM(V$7:V$20)/'Sch DG-R Cust Fcst'!$G39)</f>
        <v>0</v>
      </c>
      <c r="W40" s="23">
        <f>IF(SUM(W$7:W$20)=0,0,SUM(W$7:W$20)/'Sch DG-R Cust Fcst'!$G39)</f>
        <v>3129.927312942219</v>
      </c>
      <c r="X40" s="23">
        <f>IF(SUM(X$7:X$20)=0,0,SUM(X$7:X$20)/'Sch DG-R Cust Fcst'!$G39)</f>
        <v>956.79196332763956</v>
      </c>
      <c r="Y40" s="41">
        <f>SUM(V40:X40)</f>
        <v>4086.7192762698587</v>
      </c>
      <c r="Z40" s="109">
        <f>IF(SUM(Z$7:Z$20)=0,0,SUM(Z$7:Z$20)/'Sch DG-R Cust Fcst'!$H39)</f>
        <v>11996.442610065951</v>
      </c>
      <c r="AA40" s="23">
        <f>IF(SUM(AA$7:AA$20)=0,0,SUM(AA$7:AA$20)/'Sch DG-R Cust Fcst'!$H39)</f>
        <v>2425.8117184903736</v>
      </c>
      <c r="AB40" s="23">
        <f>IF(SUM(AB$7:AB$20)=0,0,SUM(AB$7:AB$20)/'Sch DG-R Cust Fcst'!$H39)</f>
        <v>755.41525940914778</v>
      </c>
      <c r="AC40" s="41">
        <f>SUM(Z40:AB40)</f>
        <v>15177.669587965473</v>
      </c>
    </row>
    <row r="41" spans="1:29">
      <c r="A41" s="21" t="s">
        <v>147</v>
      </c>
      <c r="B41" s="109">
        <f>IF(SUM(B$21:B$34)=0,0,SUM(B$21:B$34)/'Sch DG-R Cust Fcst'!$B40)</f>
        <v>0</v>
      </c>
      <c r="C41" s="23">
        <f>IF(SUM(C$21:C$34)=0,0,SUM(C$21:C$34)/'Sch DG-R Cust Fcst'!$B40)</f>
        <v>0</v>
      </c>
      <c r="D41" s="23">
        <f>IF(SUM(D$21:D$34)=0,0,SUM(D$21:D$34)/'Sch DG-R Cust Fcst'!$B40)</f>
        <v>0</v>
      </c>
      <c r="E41" s="41">
        <f>SUM(B41:D41)</f>
        <v>0</v>
      </c>
      <c r="F41" s="109">
        <f>IF(SUM(F$21:F$34)=0,0,SUM(F$21:F$34)/'Sch DG-R Cust Fcst'!$C40)</f>
        <v>0</v>
      </c>
      <c r="G41" s="23">
        <f>IF(SUM(G$21:G$34)=0,0,SUM(G$21:G$34)/'Sch DG-R Cust Fcst'!$C40)</f>
        <v>0</v>
      </c>
      <c r="H41" s="23">
        <f>IF(SUM(H$21:H$34)=0,0,SUM(H$21:H$34)/'Sch DG-R Cust Fcst'!$C40)</f>
        <v>0</v>
      </c>
      <c r="I41" s="41">
        <f>SUM(F41:H41)</f>
        <v>0</v>
      </c>
      <c r="J41" s="109">
        <f>IF(SUM(J$21:J$34)=0,0,SUM(J$21:J$34)/'Sch DG-R Cust Fcst'!$D40)</f>
        <v>0</v>
      </c>
      <c r="K41" s="23">
        <f>IF(SUM(K$21:K$34)=0,0,SUM(K$21:K$34)/'Sch DG-R Cust Fcst'!$D40)</f>
        <v>0</v>
      </c>
      <c r="L41" s="23">
        <f>IF(SUM(L$21:L$34)=0,0,SUM(L$21:L$34)/'Sch DG-R Cust Fcst'!$D40)</f>
        <v>0</v>
      </c>
      <c r="M41" s="41">
        <f>SUM(J41:L41)</f>
        <v>0</v>
      </c>
      <c r="N41" s="109">
        <f>IF(SUM(N$21:N$34)=0,0,SUM(N$21:N$34)/'Sch DG-R Cust Fcst'!$E40)</f>
        <v>25619.462569836032</v>
      </c>
      <c r="O41" s="23">
        <f>IF(SUM(O$21:O$34)=0,0,SUM(O$21:O$34)/'Sch DG-R Cust Fcst'!$E40)</f>
        <v>5515.3815454264959</v>
      </c>
      <c r="P41" s="23">
        <f>IF(SUM(P$21:P$34)=0,0,SUM(P$21:P$34)/'Sch DG-R Cust Fcst'!$E40)</f>
        <v>855.2930770275243</v>
      </c>
      <c r="Q41" s="41">
        <f>SUM(N41:P41)</f>
        <v>31990.137192290051</v>
      </c>
      <c r="R41" s="109">
        <f>IF(SUM(R$21:R$34)=0,0,SUM(R$21:R$34)/'Sch DG-R Cust Fcst'!$F40)</f>
        <v>25619.462569836032</v>
      </c>
      <c r="S41" s="23">
        <f>IF(SUM(S$21:S$34)=0,0,SUM(S$21:S$34)/'Sch DG-R Cust Fcst'!$F40)</f>
        <v>5515.3815454264959</v>
      </c>
      <c r="T41" s="23">
        <f>IF(SUM(T$21:T$34)=0,0,SUM(T$21:T$34)/'Sch DG-R Cust Fcst'!$F40)</f>
        <v>855.2930770275243</v>
      </c>
      <c r="U41" s="41">
        <f>SUM(R41:T41)</f>
        <v>31990.137192290051</v>
      </c>
      <c r="V41" s="109">
        <f>IF(SUM(V$21:V$34)=0,0,SUM(V$21:V$34)/'Sch DG-R Cust Fcst'!$G40)</f>
        <v>0</v>
      </c>
      <c r="W41" s="23">
        <f>IF(SUM(W$21:W$34)=0,0,SUM(W$21:W$34)/'Sch DG-R Cust Fcst'!$G40)</f>
        <v>3129.9273129422195</v>
      </c>
      <c r="X41" s="23">
        <f>IF(SUM(X$21:X$34)=0,0,SUM(X$21:X$34)/'Sch DG-R Cust Fcst'!$G40)</f>
        <v>956.79196332763956</v>
      </c>
      <c r="Y41" s="41">
        <f>SUM(V41:X41)</f>
        <v>4086.7192762698592</v>
      </c>
      <c r="Z41" s="109">
        <f>IF(SUM(Z$21:Z$34)=0,0,SUM(Z$21:Z$34)/'Sch DG-R Cust Fcst'!$H40)</f>
        <v>8539.8208566120102</v>
      </c>
      <c r="AA41" s="23">
        <f>IF(SUM(AA$21:AA$34)=0,0,SUM(AA$21:AA$34)/'Sch DG-R Cust Fcst'!$H40)</f>
        <v>3925.0787237703116</v>
      </c>
      <c r="AB41" s="23">
        <f>IF(SUM(AB$21:AB$34)=0,0,SUM(AB$21:AB$34)/'Sch DG-R Cust Fcst'!$H40)</f>
        <v>922.95900122760111</v>
      </c>
      <c r="AC41" s="41">
        <f>SUM(Z41:AB41)</f>
        <v>13387.858581609922</v>
      </c>
    </row>
    <row r="42" spans="1:29" ht="13.5" thickBot="1">
      <c r="A42" s="247" t="s">
        <v>148</v>
      </c>
      <c r="B42" s="180">
        <f>IF(SUM(B$35:B$37)=0,0,SUM(B$35:B$37)/'Sch DG-R Cust Fcst'!$B41)</f>
        <v>0</v>
      </c>
      <c r="C42" s="176">
        <f>IF(SUM(C$35:C$37)=0,0,SUM(C$35:C$37)/'Sch DG-R Cust Fcst'!$B41)</f>
        <v>0</v>
      </c>
      <c r="D42" s="176">
        <f>IF(SUM(D$35:D$37)=0,0,SUM(D$35:D$37)/'Sch DG-R Cust Fcst'!$B41)</f>
        <v>0</v>
      </c>
      <c r="E42" s="185">
        <f>SUM(B42:D42)</f>
        <v>0</v>
      </c>
      <c r="F42" s="180">
        <f>IF(SUM(F$35:F$37)=0,0,SUM(F$35:F$37)/'Sch DG-R Cust Fcst'!$C41)</f>
        <v>0</v>
      </c>
      <c r="G42" s="176">
        <f>IF(SUM(G$35:G$37)=0,0,SUM(G$35:G$37)/'Sch DG-R Cust Fcst'!$C41)</f>
        <v>0</v>
      </c>
      <c r="H42" s="176">
        <f>IF(SUM(H$35:H$37)=0,0,SUM(H$35:H$37)/'Sch DG-R Cust Fcst'!$C41)</f>
        <v>0</v>
      </c>
      <c r="I42" s="185">
        <f>SUM(F42:H42)</f>
        <v>0</v>
      </c>
      <c r="J42" s="180">
        <f>IF(SUM(J$35:J$37)=0,0,SUM(J$35:J$37)/'Sch DG-R Cust Fcst'!$D41)</f>
        <v>0</v>
      </c>
      <c r="K42" s="176">
        <f>IF(SUM(K$35:K$37)=0,0,SUM(K$35:K$37)/'Sch DG-R Cust Fcst'!$D41)</f>
        <v>0</v>
      </c>
      <c r="L42" s="176">
        <f>IF(SUM(L$35:L$37)=0,0,SUM(L$35:L$37)/'Sch DG-R Cust Fcst'!$D41)</f>
        <v>0</v>
      </c>
      <c r="M42" s="185">
        <f>SUM(J42:L42)</f>
        <v>0</v>
      </c>
      <c r="N42" s="180">
        <f>IF(SUM(N$35:N$37)=0,0,SUM(N$35:N$37)/'Sch DG-R Cust Fcst'!$E41)</f>
        <v>0</v>
      </c>
      <c r="O42" s="176">
        <f>IF(SUM(O$35:O$37)=0,0,SUM(O$35:O$37)/'Sch DG-R Cust Fcst'!$E41)</f>
        <v>0</v>
      </c>
      <c r="P42" s="176">
        <f>IF(SUM(P$35:P$37)=0,0,SUM(P$35:P$37)/'Sch DG-R Cust Fcst'!$E41)</f>
        <v>0</v>
      </c>
      <c r="Q42" s="185">
        <f>SUM(N42:P42)</f>
        <v>0</v>
      </c>
      <c r="R42" s="180">
        <f>IF(SUM(R$35:R$37)=0,0,SUM(R$35:R$37)/'Sch DG-R Cust Fcst'!$F41)</f>
        <v>0</v>
      </c>
      <c r="S42" s="176">
        <f>IF(SUM(S$35:S$37)=0,0,SUM(S$35:S$37)/'Sch DG-R Cust Fcst'!$F41)</f>
        <v>0</v>
      </c>
      <c r="T42" s="176">
        <f>IF(SUM(T$35:T$37)=0,0,SUM(T$35:T$37)/'Sch DG-R Cust Fcst'!$F41)</f>
        <v>0</v>
      </c>
      <c r="U42" s="185">
        <f>SUM(R42:T42)</f>
        <v>0</v>
      </c>
      <c r="V42" s="180">
        <f>IF(SUM(V$35:V$37)=0,0,SUM(V$35:V$37)/'Sch DG-R Cust Fcst'!$G41)</f>
        <v>0</v>
      </c>
      <c r="W42" s="176">
        <f>IF(SUM(W$35:W$37)=0,0,SUM(W$35:W$37)/'Sch DG-R Cust Fcst'!$G41)</f>
        <v>0</v>
      </c>
      <c r="X42" s="176">
        <f>IF(SUM(X$35:X$37)=0,0,SUM(X$35:X$37)/'Sch DG-R Cust Fcst'!$C41)</f>
        <v>0</v>
      </c>
      <c r="Y42" s="185">
        <f>SUM(V42:X42)</f>
        <v>0</v>
      </c>
      <c r="Z42" s="180">
        <f>IF(SUM(Z$35:Z$37)=0,0,SUM(Z$35:Z$37)/'Sch DG-R Cust Fcst'!$H41)</f>
        <v>0</v>
      </c>
      <c r="AA42" s="176">
        <f>IF(SUM(AA$35:AA$37)=0,0,SUM(AA$35:AA$37)/'Sch DG-R Cust Fcst'!$H41)</f>
        <v>0</v>
      </c>
      <c r="AB42" s="176">
        <f>IF(SUM(AB$35:AB$37)=0,0,SUM(AB$35:AB$37)/'Sch DG-R Cust Fcst'!$H41)</f>
        <v>0</v>
      </c>
      <c r="AC42" s="185">
        <f>SUM(Z42:AB42)</f>
        <v>0</v>
      </c>
    </row>
    <row r="43" spans="1:29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</row>
    <row r="44" spans="1:29">
      <c r="A44" s="264" t="s">
        <v>91</v>
      </c>
      <c r="B44" s="18"/>
      <c r="C44" s="18"/>
      <c r="D44" s="18"/>
      <c r="E44" s="298">
        <f>IF(SUM(B7:D37)=0,0,SUM(B7:D37)/'Sch DG-R Cust Fcst'!B38)-E39</f>
        <v>0</v>
      </c>
      <c r="F44" s="18"/>
      <c r="G44" s="18"/>
      <c r="H44" s="18"/>
      <c r="I44" s="298">
        <f>IF(SUM(F7:H37)=0,0,SUM(F7:H37)/'Sch DG-R Cust Fcst'!C38)-I39</f>
        <v>0</v>
      </c>
      <c r="J44" s="18"/>
      <c r="K44" s="18"/>
      <c r="L44" s="18"/>
      <c r="M44" s="298">
        <f>IF(SUM(J7:L37)=0,0,SUM(J7:L37)/'Sch DG-R Cust Fcst'!D38)-M39</f>
        <v>0</v>
      </c>
      <c r="N44" s="18"/>
      <c r="O44" s="18"/>
      <c r="P44" s="18"/>
      <c r="Q44" s="298">
        <f>IF(SUM(N7:P37)=0,0,SUM(N7:P37)/'Sch DG-R Cust Fcst'!E38)-Q39</f>
        <v>0</v>
      </c>
      <c r="R44" s="18"/>
      <c r="S44" s="18"/>
      <c r="T44" s="18"/>
      <c r="U44" s="298">
        <f>IF(SUM(R7:T37)=0,0,SUM(R7:T37)/'Sch DG-R Cust Fcst'!F38)-U39</f>
        <v>0</v>
      </c>
      <c r="V44" s="18"/>
      <c r="W44" s="18"/>
      <c r="X44" s="18"/>
      <c r="Y44" s="298">
        <f>IF(SUM(V7:X37)=0,0,SUM(V7:X37)/'Sch DG-R Cust Fcst'!G38)-Y39</f>
        <v>0</v>
      </c>
      <c r="Z44" s="18"/>
      <c r="AA44" s="18"/>
      <c r="AB44" s="18"/>
      <c r="AC44" s="298">
        <f>IF(SUM(Z7:AB37)=0,0,SUM(Z7:AB37)/'Sch DG-R Cust Fcst'!H38)-AC39</f>
        <v>0</v>
      </c>
    </row>
    <row r="45" spans="1:29">
      <c r="E45" s="298">
        <f>IF(SUM(B7:D20)=0,0,SUM(B7:D20)/'Sch DG-R Cust Fcst'!B39)-E40</f>
        <v>0</v>
      </c>
      <c r="I45" s="298">
        <f>IF(SUM(F7:H20)=0,0,SUM(F7:H20)/'Sch DG-R Cust Fcst'!C39)-I40</f>
        <v>0</v>
      </c>
      <c r="M45" s="298">
        <f>IF(SUM(J7:L20)=0,0,SUM(J7:L20)/'Sch DG-R Cust Fcst'!D39)-M40</f>
        <v>0</v>
      </c>
      <c r="Q45" s="298">
        <f>IF(SUM(N7:P20)=0,0,SUM(N7:P20)/'Sch DG-R Cust Fcst'!E39)-Q40</f>
        <v>0</v>
      </c>
      <c r="U45" s="298">
        <f>IF(SUM(R7:T20)=0,0,SUM(R7:T20)/'Sch DG-R Cust Fcst'!F39)-U40</f>
        <v>0</v>
      </c>
      <c r="Y45" s="298">
        <f>IF(SUM(V7:X20)=0,0,SUM(V7:X20)/'Sch DG-R Cust Fcst'!G39)-Y40</f>
        <v>0</v>
      </c>
      <c r="AC45" s="298">
        <f>IF(SUM(Z7:AB20)=0,0,SUM(Z7:AB20)/'Sch DG-R Cust Fcst'!H39)-AC40</f>
        <v>0</v>
      </c>
    </row>
    <row r="46" spans="1:29">
      <c r="E46" s="298">
        <f>IF(SUM(B21:D34)=0,0,SUM(B21:D34)/'Sch DG-R Cust Fcst'!B40)-E41</f>
        <v>0</v>
      </c>
      <c r="I46" s="298">
        <f>IF(SUM(F21:H34)=0,0,SUM(F21:H34)/'Sch DG-R Cust Fcst'!C40)-I41</f>
        <v>0</v>
      </c>
      <c r="M46" s="298">
        <f>IF(SUM(J21:L34)=0,0,SUM(J21:L34)/'Sch DG-R Cust Fcst'!D40)-M41</f>
        <v>0</v>
      </c>
      <c r="Q46" s="298">
        <f>IF(SUM(N21:P34)=0,0,SUM(N21:P34)/'Sch DG-R Cust Fcst'!E40)-Q41</f>
        <v>0</v>
      </c>
      <c r="U46" s="298">
        <f>IF(SUM(R21:T34)=0,0,SUM(R21:T34)/'Sch DG-R Cust Fcst'!F40)-U41</f>
        <v>0</v>
      </c>
      <c r="Y46" s="298">
        <f>IF(SUM(V21:X34)=0,0,SUM(V21:X34)/'Sch DG-R Cust Fcst'!G40)-Y41</f>
        <v>0</v>
      </c>
      <c r="AC46" s="298">
        <f>IF(SUM(Z21:AB34)=0,0,SUM(Z21:AB34)/'Sch DG-R Cust Fcst'!H40)-AC41</f>
        <v>0</v>
      </c>
    </row>
    <row r="47" spans="1:29">
      <c r="E47" s="298">
        <f>IF(SUM(B35:D37)=0,0,SUM(B35:D37)/'Sch DG-R Cust Fcst'!B41)-E42</f>
        <v>0</v>
      </c>
      <c r="I47" s="298">
        <f>IF(SUM(F35:H37)=0,0,SUM(F35:H37)/'Sch DG-R Cust Fcst'!C41)-I42</f>
        <v>0</v>
      </c>
      <c r="M47" s="298">
        <f>IF(SUM(J35:L37)=0,0,SUM(J35:L37)/'Sch DG-R Cust Fcst'!D41)-M42</f>
        <v>0</v>
      </c>
      <c r="Q47" s="298">
        <f>IF(SUM(N35:P37)=0,0,SUM(N35:P37)/'Sch DG-R Cust Fcst'!E41)-Q42</f>
        <v>0</v>
      </c>
      <c r="U47" s="298">
        <f>IF(SUM(R35:T37)=0,0,SUM(R35:T37)/'Sch DG-R Cust Fcst'!F41)-U42</f>
        <v>0</v>
      </c>
      <c r="Y47" s="298">
        <f>IF(SUM(V35:X37)=0,0,SUM(V35:X37)/'Sch DG-R Cust Fcst'!G41)-Y42</f>
        <v>0</v>
      </c>
      <c r="AC47" s="298">
        <f>IF(SUM(Z35:AB37)=0,0,SUM(Z35:AB37)/'Sch DG-R Cust Fcst'!H41)-AC42</f>
        <v>0</v>
      </c>
    </row>
    <row r="48" spans="1:29">
      <c r="A48" s="19"/>
      <c r="B48" s="19"/>
      <c r="C48" s="19"/>
      <c r="D48" s="19"/>
      <c r="E48" s="19"/>
    </row>
    <row r="60" spans="1:5">
      <c r="A60" s="19"/>
      <c r="B60" s="19"/>
      <c r="C60" s="19"/>
      <c r="D60" s="19"/>
      <c r="E60" s="19"/>
    </row>
  </sheetData>
  <mergeCells count="11">
    <mergeCell ref="Z3:AC3"/>
    <mergeCell ref="A1:Y1"/>
    <mergeCell ref="F2:U2"/>
    <mergeCell ref="V2:Y2"/>
    <mergeCell ref="Z2:AC2"/>
    <mergeCell ref="F3:I3"/>
    <mergeCell ref="J3:M3"/>
    <mergeCell ref="N3:Q3"/>
    <mergeCell ref="R3:U3"/>
    <mergeCell ref="V3:Y3"/>
    <mergeCell ref="B3:E3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45">
    <tabColor rgb="FFFFC000"/>
    <pageSetUpPr fitToPage="1"/>
  </sheetPr>
  <dimension ref="A1:M56"/>
  <sheetViews>
    <sheetView topLeftCell="A16" zoomScaleNormal="100" workbookViewId="0">
      <selection activeCell="D35" sqref="D35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13.5703125" style="12" customWidth="1"/>
    <col min="5" max="5" width="14.7109375" style="12" bestFit="1" customWidth="1"/>
    <col min="6" max="6" width="13.7109375" style="12" bestFit="1" customWidth="1"/>
    <col min="7" max="7" width="17.140625" style="12" bestFit="1" customWidth="1"/>
    <col min="8" max="8" width="8.7109375" style="12" bestFit="1" customWidth="1"/>
    <col min="9" max="9" width="13.7109375" style="12" bestFit="1" customWidth="1"/>
    <col min="10" max="10" width="14.85546875" bestFit="1" customWidth="1"/>
    <col min="11" max="11" width="17.140625" bestFit="1" customWidth="1"/>
    <col min="12" max="12" width="13.5703125" customWidth="1"/>
    <col min="13" max="13" width="14.7109375" bestFit="1" customWidth="1"/>
  </cols>
  <sheetData>
    <row r="1" spans="1:13" ht="18.75" thickBot="1">
      <c r="A1" s="741" t="s">
        <v>156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</row>
    <row r="2" spans="1:13" ht="13.5" thickBot="1">
      <c r="A2" s="103"/>
      <c r="B2" s="751" t="s">
        <v>0</v>
      </c>
      <c r="C2" s="745"/>
      <c r="D2" s="745"/>
      <c r="E2" s="746"/>
      <c r="F2" s="742" t="s">
        <v>1</v>
      </c>
      <c r="G2" s="743"/>
      <c r="H2" s="743"/>
      <c r="I2" s="744"/>
      <c r="J2" s="742" t="s">
        <v>153</v>
      </c>
      <c r="K2" s="743"/>
      <c r="L2" s="743"/>
      <c r="M2" s="744"/>
    </row>
    <row r="3" spans="1:13" ht="13.5" thickBot="1">
      <c r="A3" s="77" t="s">
        <v>47</v>
      </c>
      <c r="B3" s="302" t="s">
        <v>152</v>
      </c>
      <c r="C3" s="303" t="s">
        <v>124</v>
      </c>
      <c r="D3" s="303" t="s">
        <v>88</v>
      </c>
      <c r="E3" s="451" t="s">
        <v>135</v>
      </c>
      <c r="F3" s="302" t="s">
        <v>152</v>
      </c>
      <c r="G3" s="303" t="s">
        <v>124</v>
      </c>
      <c r="H3" s="303" t="s">
        <v>88</v>
      </c>
      <c r="I3" s="451" t="s">
        <v>136</v>
      </c>
      <c r="J3" s="302" t="s">
        <v>152</v>
      </c>
      <c r="K3" s="303" t="s">
        <v>124</v>
      </c>
      <c r="L3" s="303" t="s">
        <v>88</v>
      </c>
      <c r="M3" s="451" t="s">
        <v>2</v>
      </c>
    </row>
    <row r="4" spans="1:13">
      <c r="A4" s="380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</row>
    <row r="6" spans="1:13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</row>
    <row r="7" spans="1:13">
      <c r="A7" s="381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</row>
    <row r="8" spans="1:13">
      <c r="A8" s="117" t="s">
        <v>53</v>
      </c>
      <c r="B8" s="115">
        <f>'Sch DG-R TSM'!R40</f>
        <v>12844.675925929201</v>
      </c>
      <c r="C8" s="134">
        <f>'Sch DG-R TSM'!R41</f>
        <v>25619.462569836032</v>
      </c>
      <c r="D8" s="134"/>
      <c r="E8" s="44">
        <f>'Sch DG-R TSM'!R39</f>
        <v>13220.404944867636</v>
      </c>
      <c r="F8" s="115">
        <f>'Sch DG-R TSM'!V40</f>
        <v>0</v>
      </c>
      <c r="G8" s="134">
        <f>'Sch DG-R TSM'!V41</f>
        <v>0</v>
      </c>
      <c r="H8" s="134"/>
      <c r="I8" s="44">
        <f>'Sch DG-R TSM'!V39</f>
        <v>0</v>
      </c>
      <c r="J8" s="115">
        <f>'Sch DG-R TSM'!Z40</f>
        <v>11996.442610065951</v>
      </c>
      <c r="K8" s="134">
        <f>'Sch DG-R TSM'!Z41</f>
        <v>8539.8208566120102</v>
      </c>
      <c r="L8" s="134"/>
      <c r="M8" s="44">
        <f>'Sch DG-R TSM'!Z39</f>
        <v>11725.924385882598</v>
      </c>
    </row>
    <row r="9" spans="1:13">
      <c r="A9" s="117" t="s">
        <v>51</v>
      </c>
      <c r="B9" s="115">
        <f>'Sch DG-R TSM'!S40</f>
        <v>2376.025767367516</v>
      </c>
      <c r="C9" s="134">
        <f>'Sch DG-R TSM'!S41</f>
        <v>5515.3815454264959</v>
      </c>
      <c r="D9" s="134"/>
      <c r="E9" s="44">
        <f>'Sch DG-R TSM'!S39</f>
        <v>2468.3597608398391</v>
      </c>
      <c r="F9" s="115">
        <f>'Sch DG-R TSM'!W40</f>
        <v>3129.927312942219</v>
      </c>
      <c r="G9" s="134">
        <f>'Sch DG-R TSM'!W41</f>
        <v>3129.9273129422195</v>
      </c>
      <c r="H9" s="134"/>
      <c r="I9" s="44">
        <f>'Sch DG-R TSM'!W39</f>
        <v>3129.9273129422195</v>
      </c>
      <c r="J9" s="115">
        <f>'Sch DG-R TSM'!AA40</f>
        <v>2425.8117184903736</v>
      </c>
      <c r="K9" s="134">
        <f>'Sch DG-R TSM'!AA41</f>
        <v>3925.0787237703116</v>
      </c>
      <c r="L9" s="134"/>
      <c r="M9" s="44">
        <f>'Sch DG-R TSM'!AA39</f>
        <v>2543.1456580340209</v>
      </c>
    </row>
    <row r="10" spans="1:13">
      <c r="A10" s="117" t="s">
        <v>52</v>
      </c>
      <c r="B10" s="115">
        <f>'Sch DG-R TSM'!T40</f>
        <v>741.17650256642594</v>
      </c>
      <c r="C10" s="134">
        <f>'Sch DG-R TSM'!T41</f>
        <v>855.2930770275243</v>
      </c>
      <c r="D10" s="134"/>
      <c r="E10" s="44">
        <f>'Sch DG-R TSM'!T39</f>
        <v>744.53287240351722</v>
      </c>
      <c r="F10" s="115">
        <f>'Sch DG-R TSM'!X40</f>
        <v>956.79196332763956</v>
      </c>
      <c r="G10" s="134">
        <f>'Sch DG-R TSM'!X41</f>
        <v>956.79196332763956</v>
      </c>
      <c r="H10" s="134"/>
      <c r="I10" s="44">
        <f>'Sch DG-R TSM'!X39</f>
        <v>956.79196332763956</v>
      </c>
      <c r="J10" s="115">
        <f>'Sch DG-R TSM'!AB40</f>
        <v>755.41525940914778</v>
      </c>
      <c r="K10" s="134">
        <f>'Sch DG-R TSM'!AB41</f>
        <v>922.95900122760111</v>
      </c>
      <c r="L10" s="134"/>
      <c r="M10" s="44">
        <f>'Sch DG-R TSM'!AB39</f>
        <v>768.52737833407025</v>
      </c>
    </row>
    <row r="11" spans="1:13">
      <c r="A11" s="382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</row>
    <row r="12" spans="1:13">
      <c r="A12" s="117" t="s">
        <v>35</v>
      </c>
      <c r="B12" s="114">
        <f t="shared" ref="B12:M12" si="0">SUM(B8:B10)</f>
        <v>15961.878195863143</v>
      </c>
      <c r="C12" s="30">
        <f t="shared" si="0"/>
        <v>31990.137192290051</v>
      </c>
      <c r="D12" s="30"/>
      <c r="E12" s="40">
        <f t="shared" si="0"/>
        <v>16433.297578110993</v>
      </c>
      <c r="F12" s="114">
        <f t="shared" si="0"/>
        <v>4086.7192762698587</v>
      </c>
      <c r="G12" s="30">
        <f t="shared" si="0"/>
        <v>4086.7192762698592</v>
      </c>
      <c r="H12" s="30"/>
      <c r="I12" s="40">
        <f t="shared" si="0"/>
        <v>4086.7192762698592</v>
      </c>
      <c r="J12" s="114">
        <f t="shared" si="0"/>
        <v>15177.669587965473</v>
      </c>
      <c r="K12" s="30">
        <f t="shared" si="0"/>
        <v>13387.858581609922</v>
      </c>
      <c r="L12" s="30"/>
      <c r="M12" s="40">
        <f t="shared" si="0"/>
        <v>15037.597422250688</v>
      </c>
    </row>
    <row r="13" spans="1:13">
      <c r="A13" s="382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</row>
    <row r="14" spans="1:13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</row>
    <row r="15" spans="1:13">
      <c r="A15" s="383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</row>
    <row r="16" spans="1: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</row>
    <row r="17" spans="1:13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</row>
    <row r="18" spans="1:13">
      <c r="A18" s="384" t="s">
        <v>97</v>
      </c>
      <c r="B18" s="114">
        <f t="shared" ref="B18:E20" si="1">(B8*(1+$A$15)*(1+$A$17))</f>
        <v>13399.092670017882</v>
      </c>
      <c r="C18" s="30">
        <f t="shared" si="1"/>
        <v>26725.279416067035</v>
      </c>
      <c r="D18" s="30"/>
      <c r="E18" s="40">
        <f t="shared" si="1"/>
        <v>13791.039339019326</v>
      </c>
      <c r="F18" s="114">
        <f t="shared" ref="F18:M18" si="2">(F8*(1+$A$15)*(1+$A$17))</f>
        <v>0</v>
      </c>
      <c r="G18" s="30">
        <f t="shared" si="2"/>
        <v>0</v>
      </c>
      <c r="H18" s="30"/>
      <c r="I18" s="40">
        <f t="shared" si="2"/>
        <v>0</v>
      </c>
      <c r="J18" s="114">
        <f t="shared" si="2"/>
        <v>12514.246927658211</v>
      </c>
      <c r="K18" s="30">
        <f t="shared" si="2"/>
        <v>8908.4264720223437</v>
      </c>
      <c r="L18" s="30"/>
      <c r="M18" s="40">
        <f t="shared" si="2"/>
        <v>12232.052283304096</v>
      </c>
    </row>
    <row r="19" spans="1:13">
      <c r="A19" s="384" t="s">
        <v>51</v>
      </c>
      <c r="B19" s="114">
        <f t="shared" si="1"/>
        <v>2478.5825369902896</v>
      </c>
      <c r="C19" s="30">
        <f t="shared" si="1"/>
        <v>5753.44281660652</v>
      </c>
      <c r="D19" s="30"/>
      <c r="E19" s="40">
        <f t="shared" si="1"/>
        <v>2574.9019569790025</v>
      </c>
      <c r="F19" s="114">
        <f t="shared" ref="F19:M19" si="3">(F9*(1+$A$15)*(1+$A$17))</f>
        <v>3265.024852193691</v>
      </c>
      <c r="G19" s="30">
        <f t="shared" si="3"/>
        <v>3265.0248521936915</v>
      </c>
      <c r="H19" s="30"/>
      <c r="I19" s="40">
        <f t="shared" si="3"/>
        <v>3265.0248521936915</v>
      </c>
      <c r="J19" s="114">
        <f t="shared" si="3"/>
        <v>2530.5174068622123</v>
      </c>
      <c r="K19" s="30">
        <f t="shared" si="3"/>
        <v>4094.4975069979678</v>
      </c>
      <c r="L19" s="30"/>
      <c r="M19" s="40">
        <f t="shared" si="3"/>
        <v>2652.9158494815324</v>
      </c>
    </row>
    <row r="20" spans="1:13">
      <c r="A20" s="384" t="s">
        <v>52</v>
      </c>
      <c r="B20" s="114">
        <f t="shared" si="1"/>
        <v>773.16801918526096</v>
      </c>
      <c r="C20" s="30">
        <f t="shared" si="1"/>
        <v>892.2102250927361</v>
      </c>
      <c r="D20" s="30"/>
      <c r="E20" s="40">
        <f t="shared" si="1"/>
        <v>776.66926053548093</v>
      </c>
      <c r="F20" s="114">
        <f t="shared" ref="F20:M20" si="4">(F10*(1+$A$15)*(1+$A$17))</f>
        <v>998.09012360332997</v>
      </c>
      <c r="G20" s="30">
        <f t="shared" si="4"/>
        <v>998.09012360332997</v>
      </c>
      <c r="H20" s="30"/>
      <c r="I20" s="40">
        <f t="shared" si="4"/>
        <v>998.09012360332997</v>
      </c>
      <c r="J20" s="114">
        <f t="shared" si="4"/>
        <v>788.02136570343555</v>
      </c>
      <c r="K20" s="30">
        <f t="shared" si="4"/>
        <v>962.79682409979864</v>
      </c>
      <c r="L20" s="30"/>
      <c r="M20" s="40">
        <f t="shared" si="4"/>
        <v>801.69944505619435</v>
      </c>
    </row>
    <row r="21" spans="1:13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</row>
    <row r="22" spans="1:13">
      <c r="A22" s="117" t="s">
        <v>35</v>
      </c>
      <c r="B22" s="119">
        <f t="shared" ref="B22:M22" si="5">B18+B19+B20</f>
        <v>16650.843226193432</v>
      </c>
      <c r="C22" s="73">
        <f t="shared" si="5"/>
        <v>33370.932457766292</v>
      </c>
      <c r="D22" s="73"/>
      <c r="E22" s="75">
        <f t="shared" si="5"/>
        <v>17142.610556533808</v>
      </c>
      <c r="F22" s="119">
        <f t="shared" si="5"/>
        <v>4263.1149757970206</v>
      </c>
      <c r="G22" s="73">
        <f t="shared" si="5"/>
        <v>4263.1149757970215</v>
      </c>
      <c r="H22" s="73"/>
      <c r="I22" s="75">
        <f t="shared" si="5"/>
        <v>4263.1149757970215</v>
      </c>
      <c r="J22" s="119">
        <f t="shared" si="5"/>
        <v>15832.78570022386</v>
      </c>
      <c r="K22" s="73">
        <f>K18+K19+K20</f>
        <v>13965.72080312011</v>
      </c>
      <c r="L22" s="73"/>
      <c r="M22" s="75">
        <f t="shared" si="5"/>
        <v>15686.667577841823</v>
      </c>
    </row>
    <row r="23" spans="1:13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</row>
    <row r="24" spans="1:13">
      <c r="A24" s="384" t="str">
        <f>'Resid TSM Sum by Rate Schedule'!A25</f>
        <v>Annualized Transformer Cost at 8.05%</v>
      </c>
      <c r="B24" s="119">
        <f>B18*Inputs!$C$5</f>
        <v>1078.3410572458597</v>
      </c>
      <c r="C24" s="73">
        <f>C18*Inputs!$C$5</f>
        <v>2150.8147432399446</v>
      </c>
      <c r="D24" s="73"/>
      <c r="E24" s="75">
        <f>E18*Inputs!$C$5</f>
        <v>1109.8844009515678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>
        <f>J18*Inputs!$C$5</f>
        <v>1007.1298553522651</v>
      </c>
      <c r="K24" s="73">
        <f>K18*Inputs!$C$5</f>
        <v>716.93824774664813</v>
      </c>
      <c r="L24" s="73"/>
      <c r="M24" s="75">
        <f>M18*Inputs!$C$5</f>
        <v>984.41920780052089</v>
      </c>
    </row>
    <row r="25" spans="1:13">
      <c r="A25" s="384" t="str">
        <f>'Resid TSM Sum by Rate Schedule'!A26</f>
        <v>Annualized Services Cost at 7.08%</v>
      </c>
      <c r="B25" s="119">
        <f>B19*Inputs!$C$6</f>
        <v>175.42182762602451</v>
      </c>
      <c r="C25" s="73">
        <f>C19*Inputs!$C$6</f>
        <v>407.20026021666916</v>
      </c>
      <c r="D25" s="73"/>
      <c r="E25" s="75">
        <f>E19*Inputs!$C$6</f>
        <v>182.2388403492788</v>
      </c>
      <c r="F25" s="119">
        <f>F19*Inputs!$C$6</f>
        <v>231.08232962526185</v>
      </c>
      <c r="G25" s="73">
        <f>G19*Inputs!$C$6</f>
        <v>231.08232962526188</v>
      </c>
      <c r="H25" s="73"/>
      <c r="I25" s="75">
        <f>I19*Inputs!$C$6</f>
        <v>231.08232962526188</v>
      </c>
      <c r="J25" s="119">
        <f>J19*Inputs!$C$6</f>
        <v>179.09752115427605</v>
      </c>
      <c r="K25" s="73">
        <f>K19*Inputs!$C$6</f>
        <v>289.78830648906433</v>
      </c>
      <c r="L25" s="73"/>
      <c r="M25" s="75">
        <f>M19*Inputs!$C$6</f>
        <v>187.76027826743339</v>
      </c>
    </row>
    <row r="26" spans="1:13" ht="15">
      <c r="A26" s="384" t="str">
        <f>'Resid TSM Sum by Rate Schedule'!A27</f>
        <v>Annualized Meter Cost at 10.78%</v>
      </c>
      <c r="B26" s="465">
        <f>B20*Inputs!$C$7</f>
        <v>83.321572175854513</v>
      </c>
      <c r="C26" s="464">
        <f>C20*Inputs!$C$7</f>
        <v>96.150328028876871</v>
      </c>
      <c r="D26" s="464"/>
      <c r="E26" s="463">
        <f>E20*Inputs!$C$7</f>
        <v>83.698888524472835</v>
      </c>
      <c r="F26" s="465">
        <f>F20*Inputs!$C$7</f>
        <v>107.56062874853031</v>
      </c>
      <c r="G26" s="464">
        <f>G20*Inputs!$C$7</f>
        <v>107.56062874853031</v>
      </c>
      <c r="H26" s="464"/>
      <c r="I26" s="463">
        <f>I20*Inputs!$C$7</f>
        <v>107.56062874853031</v>
      </c>
      <c r="J26" s="465">
        <f>J20*Inputs!$C$7</f>
        <v>84.922264591031237</v>
      </c>
      <c r="K26" s="464">
        <f>K20*Inputs!$C$7</f>
        <v>103.75719517531249</v>
      </c>
      <c r="L26" s="464"/>
      <c r="M26" s="463">
        <f>M20*Inputs!$C$7</f>
        <v>86.396302636757596</v>
      </c>
    </row>
    <row r="27" spans="1:13">
      <c r="A27" s="459" t="s">
        <v>312</v>
      </c>
      <c r="B27" s="119">
        <f>SUM(B24:B26)</f>
        <v>1337.0844570477386</v>
      </c>
      <c r="C27" s="73">
        <f t="shared" ref="C27:M27" si="6">SUM(C24:C26)</f>
        <v>2654.1653314854907</v>
      </c>
      <c r="D27" s="73"/>
      <c r="E27" s="75">
        <f t="shared" si="6"/>
        <v>1375.8221298253193</v>
      </c>
      <c r="F27" s="119">
        <f t="shared" si="6"/>
        <v>338.64295837379217</v>
      </c>
      <c r="G27" s="73">
        <f t="shared" si="6"/>
        <v>338.64295837379217</v>
      </c>
      <c r="H27" s="73"/>
      <c r="I27" s="75">
        <f t="shared" si="6"/>
        <v>338.64295837379217</v>
      </c>
      <c r="J27" s="119">
        <f t="shared" si="6"/>
        <v>1271.1496410975724</v>
      </c>
      <c r="K27" s="73">
        <f t="shared" si="6"/>
        <v>1110.483749411025</v>
      </c>
      <c r="L27" s="73"/>
      <c r="M27" s="75">
        <f t="shared" si="6"/>
        <v>1258.5757887047118</v>
      </c>
    </row>
    <row r="28" spans="1:13">
      <c r="A28" s="383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</row>
    <row r="29" spans="1:13">
      <c r="A29" s="117" t="s">
        <v>50</v>
      </c>
      <c r="B29" s="114">
        <f>'Distribution O&amp;M Allocations'!$V$20</f>
        <v>551.77074912842852</v>
      </c>
      <c r="C29" s="30">
        <f>'Distribution O&amp;M Allocations'!$V$20</f>
        <v>551.77074912842852</v>
      </c>
      <c r="D29" s="30"/>
      <c r="E29" s="30">
        <f>'Distribution O&amp;M Allocations'!$V$20</f>
        <v>551.77074912842852</v>
      </c>
      <c r="F29" s="114">
        <f>'Distribution O&amp;M Allocations'!$W$20</f>
        <v>137.21726548349974</v>
      </c>
      <c r="G29" s="30">
        <f>'Distribution O&amp;M Allocations'!$W$20</f>
        <v>137.21726548349974</v>
      </c>
      <c r="H29" s="30"/>
      <c r="I29" s="30">
        <f>'Distribution O&amp;M Allocations'!$W$20</f>
        <v>137.21726548349974</v>
      </c>
      <c r="J29" s="114">
        <f>'Distribution O&amp;M Allocations'!$W$24</f>
        <v>504.90818141204528</v>
      </c>
      <c r="K29" s="30">
        <f>'Distribution O&amp;M Allocations'!$W$24</f>
        <v>504.90818141204528</v>
      </c>
      <c r="L29" s="30"/>
      <c r="M29" s="40">
        <f>'Distribution O&amp;M Allocations'!$W$24</f>
        <v>504.90818141204528</v>
      </c>
    </row>
    <row r="30" spans="1:13">
      <c r="A30" s="118"/>
      <c r="B30" s="10"/>
      <c r="C30" s="27"/>
      <c r="D30" s="27"/>
      <c r="E30" s="81"/>
      <c r="F30" s="10"/>
      <c r="G30" s="27"/>
      <c r="H30" s="27"/>
      <c r="I30" s="81"/>
      <c r="J30" s="114"/>
      <c r="K30" s="30"/>
      <c r="L30" s="30"/>
      <c r="M30" s="40"/>
    </row>
    <row r="31" spans="1:13">
      <c r="A31" s="117" t="s">
        <v>57</v>
      </c>
      <c r="B31" s="723">
        <v>447.86258547437507</v>
      </c>
      <c r="C31" s="724">
        <v>447.86258547437507</v>
      </c>
      <c r="D31" s="724"/>
      <c r="E31" s="724">
        <v>447.86258547437507</v>
      </c>
      <c r="F31" s="723">
        <v>447.86258547437507</v>
      </c>
      <c r="G31" s="724">
        <v>447.86258547437507</v>
      </c>
      <c r="H31" s="724"/>
      <c r="I31" s="724">
        <v>447.86258547437507</v>
      </c>
      <c r="J31" s="725">
        <v>447.86258547437507</v>
      </c>
      <c r="K31" s="616">
        <v>447.86258547437507</v>
      </c>
      <c r="L31" s="616"/>
      <c r="M31" s="717">
        <v>447.86258547437507</v>
      </c>
    </row>
    <row r="32" spans="1:13" ht="13.5" thickBot="1">
      <c r="A32" s="11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</row>
    <row r="33" spans="1:13" ht="13.5" thickBot="1">
      <c r="A33" s="385" t="s">
        <v>133</v>
      </c>
      <c r="B33" s="282">
        <f t="shared" ref="B33:M33" si="7">B27+B29+B31</f>
        <v>2336.717791650542</v>
      </c>
      <c r="C33" s="283">
        <f t="shared" si="7"/>
        <v>3653.7986660882943</v>
      </c>
      <c r="D33" s="283"/>
      <c r="E33" s="294">
        <f t="shared" si="7"/>
        <v>2375.4554644281229</v>
      </c>
      <c r="F33" s="282">
        <f t="shared" si="7"/>
        <v>923.72280933166689</v>
      </c>
      <c r="G33" s="283">
        <f t="shared" si="7"/>
        <v>923.72280933166689</v>
      </c>
      <c r="H33" s="283"/>
      <c r="I33" s="294">
        <f t="shared" si="7"/>
        <v>923.72280933166689</v>
      </c>
      <c r="J33" s="282">
        <f t="shared" si="7"/>
        <v>2223.9204079839928</v>
      </c>
      <c r="K33" s="283">
        <f t="shared" si="7"/>
        <v>2063.2545162974452</v>
      </c>
      <c r="L33" s="283"/>
      <c r="M33" s="294">
        <f t="shared" si="7"/>
        <v>2211.3465555911321</v>
      </c>
    </row>
    <row r="34" spans="1:13">
      <c r="B34" s="13"/>
      <c r="C34" s="13"/>
      <c r="D34" s="13"/>
      <c r="E34" s="13"/>
      <c r="F34" s="13"/>
      <c r="G34" s="13"/>
      <c r="H34" s="13"/>
      <c r="I34" s="13"/>
    </row>
    <row r="36" spans="1:13">
      <c r="A36" t="s">
        <v>3</v>
      </c>
    </row>
    <row r="44" spans="1:13">
      <c r="A44" s="19"/>
    </row>
    <row r="56" spans="1:1">
      <c r="A56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46">
    <tabColor rgb="FFFFC000"/>
    <pageSetUpPr fitToPage="1"/>
  </sheetPr>
  <dimension ref="A1:M58"/>
  <sheetViews>
    <sheetView zoomScaleNormal="100" workbookViewId="0">
      <selection activeCell="A20" sqref="A20"/>
    </sheetView>
  </sheetViews>
  <sheetFormatPr defaultRowHeight="12.75"/>
  <cols>
    <col min="1" max="1" width="40.7109375" customWidth="1"/>
    <col min="2" max="2" width="10.28515625" style="12" customWidth="1"/>
    <col min="3" max="3" width="14.85546875" style="12" bestFit="1" customWidth="1"/>
    <col min="4" max="4" width="13.5703125" style="12" customWidth="1"/>
    <col min="5" max="5" width="14.7109375" style="12" bestFit="1" customWidth="1"/>
    <col min="6" max="7" width="14" style="12" bestFit="1" customWidth="1"/>
    <col min="8" max="8" width="13.5703125" style="12" customWidth="1"/>
    <col min="9" max="9" width="14" style="12" bestFit="1" customWidth="1"/>
    <col min="10" max="10" width="14.7109375" bestFit="1" customWidth="1"/>
    <col min="11" max="11" width="14.85546875" bestFit="1" customWidth="1"/>
    <col min="12" max="12" width="13.5703125" customWidth="1"/>
    <col min="13" max="13" width="14.85546875" bestFit="1" customWidth="1"/>
  </cols>
  <sheetData>
    <row r="1" spans="1:13" ht="18.75" thickBot="1">
      <c r="A1" s="741" t="s">
        <v>335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</row>
    <row r="2" spans="1:13" ht="13.5" thickBot="1">
      <c r="A2" s="103"/>
      <c r="B2" s="745" t="s">
        <v>0</v>
      </c>
      <c r="C2" s="745"/>
      <c r="D2" s="745"/>
      <c r="E2" s="746"/>
      <c r="F2" s="743" t="s">
        <v>1</v>
      </c>
      <c r="G2" s="743"/>
      <c r="H2" s="743"/>
      <c r="I2" s="744"/>
      <c r="J2" s="743" t="s">
        <v>153</v>
      </c>
      <c r="K2" s="743"/>
      <c r="L2" s="743"/>
      <c r="M2" s="744"/>
    </row>
    <row r="3" spans="1:13" ht="13.5" thickBot="1">
      <c r="A3" s="77" t="s">
        <v>47</v>
      </c>
      <c r="B3" s="303" t="s">
        <v>152</v>
      </c>
      <c r="C3" s="303" t="s">
        <v>147</v>
      </c>
      <c r="D3" s="303" t="s">
        <v>88</v>
      </c>
      <c r="E3" s="451" t="s">
        <v>135</v>
      </c>
      <c r="F3" s="303" t="s">
        <v>152</v>
      </c>
      <c r="G3" s="303" t="s">
        <v>147</v>
      </c>
      <c r="H3" s="303" t="s">
        <v>88</v>
      </c>
      <c r="I3" s="451" t="s">
        <v>136</v>
      </c>
      <c r="J3" s="303" t="s">
        <v>152</v>
      </c>
      <c r="K3" s="303" t="s">
        <v>147</v>
      </c>
      <c r="L3" s="303" t="s">
        <v>88</v>
      </c>
      <c r="M3" s="451" t="s">
        <v>2</v>
      </c>
    </row>
    <row r="4" spans="1:13">
      <c r="A4" s="35"/>
      <c r="B4" s="5"/>
      <c r="C4" s="6"/>
      <c r="D4" s="6"/>
      <c r="E4" s="7"/>
      <c r="F4" s="6"/>
      <c r="G4" s="6"/>
      <c r="H4" s="6"/>
      <c r="I4" s="6"/>
      <c r="J4" s="5"/>
      <c r="K4" s="6"/>
      <c r="L4" s="6"/>
      <c r="M4" s="7"/>
    </row>
    <row r="5" spans="1:13">
      <c r="A5" s="36"/>
      <c r="B5" s="104"/>
      <c r="C5" s="8"/>
      <c r="D5" s="8"/>
      <c r="E5" s="9"/>
      <c r="F5" s="8"/>
      <c r="G5" s="8"/>
      <c r="H5" s="8"/>
      <c r="I5" s="8"/>
      <c r="J5" s="104"/>
      <c r="K5" s="8"/>
      <c r="L5" s="8"/>
      <c r="M5" s="9"/>
    </row>
    <row r="6" spans="1:13">
      <c r="A6" s="36" t="s">
        <v>49</v>
      </c>
      <c r="B6" s="114"/>
      <c r="C6" s="30"/>
      <c r="D6" s="30"/>
      <c r="E6" s="40"/>
      <c r="F6" s="30"/>
      <c r="G6" s="30"/>
      <c r="H6" s="30"/>
      <c r="I6" s="30"/>
      <c r="J6" s="114"/>
      <c r="K6" s="30"/>
      <c r="L6" s="30"/>
      <c r="M6" s="40"/>
    </row>
    <row r="7" spans="1:13">
      <c r="A7" s="37"/>
      <c r="B7" s="114"/>
      <c r="C7" s="30"/>
      <c r="D7" s="30"/>
      <c r="E7" s="40"/>
      <c r="F7" s="30"/>
      <c r="G7" s="30"/>
      <c r="H7" s="30"/>
      <c r="I7" s="30"/>
      <c r="J7" s="114"/>
      <c r="K7" s="30"/>
      <c r="L7" s="30"/>
      <c r="M7" s="40"/>
    </row>
    <row r="8" spans="1:13">
      <c r="A8" s="36" t="s">
        <v>53</v>
      </c>
      <c r="B8" s="115">
        <f>'Sch DG-R TSM Summary'!B8*Inputs!$C$12</f>
        <v>13938.323834946255</v>
      </c>
      <c r="C8" s="134">
        <f>'Sch DG-R TSM Summary'!C8*Inputs!$C$12</f>
        <v>27800.807730369146</v>
      </c>
      <c r="D8" s="134"/>
      <c r="E8" s="44">
        <f>'Sch DG-R TSM Summary'!E8*Inputs!$C$12</f>
        <v>14346.043949517516</v>
      </c>
      <c r="F8" s="134">
        <f>'Sch DG-R TSM Summary'!F8*Inputs!$C$12</f>
        <v>0</v>
      </c>
      <c r="G8" s="134">
        <f>'Sch DG-R TSM Summary'!G8*Inputs!$C$12</f>
        <v>0</v>
      </c>
      <c r="H8" s="134"/>
      <c r="I8" s="134">
        <f>'Sch DG-R TSM Summary'!I8*Inputs!$C$12</f>
        <v>0</v>
      </c>
      <c r="J8" s="115">
        <f>'Sch DG-R TSM Summary'!J8*Inputs!$C$12</f>
        <v>13017.868487355463</v>
      </c>
      <c r="K8" s="134">
        <f>'Sch DG-R TSM Summary'!K8*Inputs!$C$12</f>
        <v>9266.9359101230475</v>
      </c>
      <c r="L8" s="134"/>
      <c r="M8" s="44">
        <f>'Sch DG-R TSM Summary'!M8*Inputs!$C$12</f>
        <v>12724.317242180752</v>
      </c>
    </row>
    <row r="9" spans="1:13">
      <c r="A9" s="36" t="s">
        <v>51</v>
      </c>
      <c r="B9" s="115">
        <f>'Sch DG-R TSM Summary'!B9*Inputs!$C$12</f>
        <v>2578.330257355195</v>
      </c>
      <c r="C9" s="134">
        <f>'Sch DG-R TSM Summary'!C9*Inputs!$C$12</f>
        <v>5984.9835446805628</v>
      </c>
      <c r="D9" s="134"/>
      <c r="E9" s="44">
        <f>'Sch DG-R TSM Summary'!E9*Inputs!$C$12</f>
        <v>2678.5259422765293</v>
      </c>
      <c r="F9" s="134">
        <f>'Sch DG-R TSM Summary'!F9*Inputs!$C$12</f>
        <v>3396.4220443713421</v>
      </c>
      <c r="G9" s="134">
        <f>'Sch DG-R TSM Summary'!G9*Inputs!$C$12</f>
        <v>3396.4220443713425</v>
      </c>
      <c r="H9" s="134"/>
      <c r="I9" s="134">
        <f>'Sch DG-R TSM Summary'!I9*Inputs!$C$12</f>
        <v>3396.4220443713425</v>
      </c>
      <c r="J9" s="115">
        <f>'Sch DG-R TSM Summary'!J9*Inputs!$C$12</f>
        <v>2632.3551866864495</v>
      </c>
      <c r="K9" s="134">
        <f>'Sch DG-R TSM Summary'!K9*Inputs!$C$12</f>
        <v>4259.2758778077496</v>
      </c>
      <c r="L9" s="134"/>
      <c r="M9" s="44">
        <f>'Sch DG-R TSM Summary'!M9*Inputs!$C$12</f>
        <v>2759.6794146872471</v>
      </c>
    </row>
    <row r="10" spans="1:13">
      <c r="A10" s="36" t="s">
        <v>52</v>
      </c>
      <c r="B10" s="115">
        <f>'Sch DG-R TSM Summary'!B10*Inputs!$C$12</f>
        <v>804.28328213164923</v>
      </c>
      <c r="C10" s="134">
        <f>'Sch DG-R TSM Summary'!C10*Inputs!$C$12</f>
        <v>928.11620551141766</v>
      </c>
      <c r="D10" s="134"/>
      <c r="E10" s="44">
        <f>'Sch DG-R TSM Summary'!E10*Inputs!$C$12</f>
        <v>807.92542693693679</v>
      </c>
      <c r="F10" s="134">
        <f>'Sch DG-R TSM Summary'!F10*Inputs!$C$12</f>
        <v>1038.2571194819702</v>
      </c>
      <c r="G10" s="134">
        <f>'Sch DG-R TSM Summary'!G10*Inputs!$C$12</f>
        <v>1038.2571194819702</v>
      </c>
      <c r="H10" s="134"/>
      <c r="I10" s="134">
        <f>'Sch DG-R TSM Summary'!I10*Inputs!$C$12</f>
        <v>1038.2571194819702</v>
      </c>
      <c r="J10" s="115">
        <f>'Sch DG-R TSM Summary'!J10*Inputs!$C$12</f>
        <v>819.7343845981801</v>
      </c>
      <c r="K10" s="134">
        <f>'Sch DG-R TSM Summary'!K10*Inputs!$C$12</f>
        <v>1001.543481491786</v>
      </c>
      <c r="L10" s="134"/>
      <c r="M10" s="44">
        <f>'Sch DG-R TSM Summary'!M10*Inputs!$C$12</f>
        <v>833.96292261594056</v>
      </c>
    </row>
    <row r="11" spans="1:13">
      <c r="A11" s="38"/>
      <c r="B11" s="114"/>
      <c r="C11" s="30"/>
      <c r="D11" s="30"/>
      <c r="E11" s="40"/>
      <c r="F11" s="30"/>
      <c r="G11" s="30"/>
      <c r="H11" s="30"/>
      <c r="I11" s="30"/>
      <c r="J11" s="114"/>
      <c r="K11" s="30"/>
      <c r="L11" s="30"/>
      <c r="M11" s="40"/>
    </row>
    <row r="12" spans="1:13">
      <c r="A12" s="36" t="s">
        <v>35</v>
      </c>
      <c r="B12" s="114">
        <f t="shared" ref="B12:M12" si="0">SUM(B8:B10)</f>
        <v>17320.937374433099</v>
      </c>
      <c r="C12" s="30">
        <f t="shared" si="0"/>
        <v>34713.907480561124</v>
      </c>
      <c r="D12" s="30"/>
      <c r="E12" s="40">
        <f t="shared" si="0"/>
        <v>17832.495318730984</v>
      </c>
      <c r="F12" s="30">
        <f t="shared" si="0"/>
        <v>4434.6791638533123</v>
      </c>
      <c r="G12" s="30">
        <f t="shared" si="0"/>
        <v>4434.6791638533123</v>
      </c>
      <c r="H12" s="30"/>
      <c r="I12" s="30">
        <f t="shared" si="0"/>
        <v>4434.6791638533123</v>
      </c>
      <c r="J12" s="114">
        <f t="shared" si="0"/>
        <v>16469.958058640092</v>
      </c>
      <c r="K12" s="30">
        <f t="shared" si="0"/>
        <v>14527.755269422583</v>
      </c>
      <c r="L12" s="30"/>
      <c r="M12" s="40">
        <f t="shared" si="0"/>
        <v>16317.959579483941</v>
      </c>
    </row>
    <row r="13" spans="1:13">
      <c r="A13" s="38"/>
      <c r="B13" s="114"/>
      <c r="C13" s="30"/>
      <c r="D13" s="30"/>
      <c r="E13" s="40"/>
      <c r="F13" s="30"/>
      <c r="G13" s="30"/>
      <c r="H13" s="30"/>
      <c r="I13" s="30"/>
      <c r="J13" s="114"/>
      <c r="K13" s="30"/>
      <c r="L13" s="30"/>
      <c r="M13" s="40"/>
    </row>
    <row r="14" spans="1:13">
      <c r="A14" s="36" t="s">
        <v>61</v>
      </c>
      <c r="B14" s="114"/>
      <c r="C14" s="30"/>
      <c r="D14" s="30"/>
      <c r="E14" s="40"/>
      <c r="F14" s="30"/>
      <c r="G14" s="30"/>
      <c r="H14" s="30"/>
      <c r="I14" s="30"/>
      <c r="J14" s="114"/>
      <c r="K14" s="30"/>
      <c r="L14" s="30"/>
      <c r="M14" s="40"/>
    </row>
    <row r="15" spans="1:13">
      <c r="A15" s="47">
        <f>Inputs!C3</f>
        <v>2.7723662892949787E-2</v>
      </c>
      <c r="B15" s="114"/>
      <c r="C15" s="30"/>
      <c r="D15" s="30"/>
      <c r="E15" s="40"/>
      <c r="F15" s="30"/>
      <c r="G15" s="30"/>
      <c r="H15" s="30"/>
      <c r="I15" s="30"/>
      <c r="J15" s="114"/>
      <c r="K15" s="30"/>
      <c r="L15" s="30"/>
      <c r="M15" s="40"/>
    </row>
    <row r="16" spans="1:13">
      <c r="A16" s="36" t="s">
        <v>60</v>
      </c>
      <c r="B16" s="114"/>
      <c r="C16" s="30"/>
      <c r="D16" s="30"/>
      <c r="E16" s="40"/>
      <c r="F16" s="30"/>
      <c r="G16" s="30"/>
      <c r="H16" s="30"/>
      <c r="I16" s="30"/>
      <c r="J16" s="114"/>
      <c r="K16" s="30"/>
      <c r="L16" s="30"/>
      <c r="M16" s="40"/>
    </row>
    <row r="17" spans="1:13">
      <c r="A17" s="47">
        <f>Inputs!C4</f>
        <v>1.5023E-2</v>
      </c>
      <c r="B17" s="114"/>
      <c r="C17" s="30"/>
      <c r="D17" s="30"/>
      <c r="E17" s="40"/>
      <c r="F17" s="30"/>
      <c r="G17" s="30"/>
      <c r="H17" s="30"/>
      <c r="I17" s="30"/>
      <c r="J17" s="114"/>
      <c r="K17" s="30"/>
      <c r="L17" s="30"/>
      <c r="M17" s="40"/>
    </row>
    <row r="18" spans="1:13">
      <c r="A18" s="94" t="s">
        <v>97</v>
      </c>
      <c r="B18" s="114">
        <f t="shared" ref="B18:M20" si="1">(B8*(1+$A$15)*(1+$A$17))</f>
        <v>14539.945873772862</v>
      </c>
      <c r="C18" s="30">
        <f t="shared" si="1"/>
        <v>29000.778316921074</v>
      </c>
      <c r="D18" s="30"/>
      <c r="E18" s="30">
        <f t="shared" si="1"/>
        <v>14965.264475041926</v>
      </c>
      <c r="F18" s="114">
        <f t="shared" si="1"/>
        <v>0</v>
      </c>
      <c r="G18" s="30">
        <f t="shared" si="1"/>
        <v>0</v>
      </c>
      <c r="H18" s="30"/>
      <c r="I18" s="40">
        <f t="shared" si="1"/>
        <v>0</v>
      </c>
      <c r="J18" s="114">
        <f t="shared" si="1"/>
        <v>13579.760768901067</v>
      </c>
      <c r="K18" s="30">
        <f t="shared" si="1"/>
        <v>9666.9261056403575</v>
      </c>
      <c r="L18" s="30"/>
      <c r="M18" s="40">
        <f t="shared" si="1"/>
        <v>13273.53892568936</v>
      </c>
    </row>
    <row r="19" spans="1:13">
      <c r="A19" s="94" t="s">
        <v>51</v>
      </c>
      <c r="B19" s="114">
        <f t="shared" si="1"/>
        <v>2689.6191271337284</v>
      </c>
      <c r="C19" s="30">
        <f t="shared" si="1"/>
        <v>6243.3143199683855</v>
      </c>
      <c r="D19" s="30"/>
      <c r="E19" s="30">
        <f t="shared" si="1"/>
        <v>2794.1395739818067</v>
      </c>
      <c r="F19" s="114">
        <f t="shared" si="1"/>
        <v>3543.0223371502475</v>
      </c>
      <c r="G19" s="30">
        <f t="shared" si="1"/>
        <v>3543.0223371502479</v>
      </c>
      <c r="H19" s="30"/>
      <c r="I19" s="40">
        <f t="shared" si="1"/>
        <v>3543.0223371502479</v>
      </c>
      <c r="J19" s="114">
        <f t="shared" si="1"/>
        <v>2745.9759428895359</v>
      </c>
      <c r="K19" s="30">
        <f t="shared" si="1"/>
        <v>4443.1196647562947</v>
      </c>
      <c r="L19" s="30"/>
      <c r="M19" s="40">
        <f t="shared" si="1"/>
        <v>2878.7958863399781</v>
      </c>
    </row>
    <row r="20" spans="1:13">
      <c r="A20" s="94" t="s">
        <v>52</v>
      </c>
      <c r="B20" s="114">
        <f t="shared" si="1"/>
        <v>838.99868648873723</v>
      </c>
      <c r="C20" s="30">
        <f t="shared" si="1"/>
        <v>968.17662959396273</v>
      </c>
      <c r="D20" s="30"/>
      <c r="E20" s="30">
        <f t="shared" si="1"/>
        <v>842.79803775653829</v>
      </c>
      <c r="F20" s="114">
        <f t="shared" si="1"/>
        <v>1083.0715729590006</v>
      </c>
      <c r="G20" s="30">
        <f t="shared" si="1"/>
        <v>1083.0715729590006</v>
      </c>
      <c r="H20" s="30"/>
      <c r="I20" s="40">
        <f t="shared" si="1"/>
        <v>1083.0715729590006</v>
      </c>
      <c r="J20" s="114">
        <f t="shared" si="1"/>
        <v>855.11670729337766</v>
      </c>
      <c r="K20" s="30">
        <f t="shared" si="1"/>
        <v>1044.773258503988</v>
      </c>
      <c r="L20" s="30"/>
      <c r="M20" s="40">
        <f t="shared" si="1"/>
        <v>869.95939390986018</v>
      </c>
    </row>
    <row r="21" spans="1:13">
      <c r="A21" s="36"/>
      <c r="B21" s="119"/>
      <c r="C21" s="73"/>
      <c r="D21" s="73"/>
      <c r="E21" s="75"/>
      <c r="F21" s="73"/>
      <c r="G21" s="73"/>
      <c r="H21" s="73"/>
      <c r="I21" s="73"/>
      <c r="J21" s="119"/>
      <c r="K21" s="73"/>
      <c r="L21" s="73"/>
      <c r="M21" s="75"/>
    </row>
    <row r="22" spans="1:13">
      <c r="A22" s="36" t="s">
        <v>35</v>
      </c>
      <c r="B22" s="119">
        <f t="shared" ref="B22:M22" si="2">B18+B19+B20</f>
        <v>18068.563687395326</v>
      </c>
      <c r="C22" s="73">
        <f t="shared" si="2"/>
        <v>36212.269266483418</v>
      </c>
      <c r="D22" s="73"/>
      <c r="E22" s="75">
        <f t="shared" si="2"/>
        <v>18602.202086780271</v>
      </c>
      <c r="F22" s="73">
        <f t="shared" si="2"/>
        <v>4626.0939101092481</v>
      </c>
      <c r="G22" s="73">
        <f t="shared" si="2"/>
        <v>4626.0939101092481</v>
      </c>
      <c r="H22" s="73"/>
      <c r="I22" s="73">
        <f t="shared" si="2"/>
        <v>4626.0939101092481</v>
      </c>
      <c r="J22" s="119">
        <f t="shared" si="2"/>
        <v>17180.853419083982</v>
      </c>
      <c r="K22" s="73">
        <f t="shared" si="2"/>
        <v>15154.819028900642</v>
      </c>
      <c r="L22" s="73"/>
      <c r="M22" s="75">
        <f t="shared" si="2"/>
        <v>17022.294205939197</v>
      </c>
    </row>
    <row r="23" spans="1:13">
      <c r="A23" s="36"/>
      <c r="B23" s="114"/>
      <c r="C23" s="30"/>
      <c r="D23" s="30"/>
      <c r="E23" s="40"/>
      <c r="F23" s="30"/>
      <c r="G23" s="30"/>
      <c r="H23" s="30"/>
      <c r="I23" s="30"/>
      <c r="J23" s="114"/>
      <c r="K23" s="30"/>
      <c r="L23" s="30"/>
      <c r="M23" s="40"/>
    </row>
    <row r="24" spans="1:13">
      <c r="A24" s="94" t="str">
        <f>'Resid TSM Sum by Rate Schedule'!A25</f>
        <v>Annualized Transformer Cost at 8.05%</v>
      </c>
      <c r="B24" s="119">
        <f>B18*Inputs!$C$5</f>
        <v>1170.1553972311528</v>
      </c>
      <c r="C24" s="73">
        <f>C18*Inputs!$C$5</f>
        <v>2333.9438513771947</v>
      </c>
      <c r="D24" s="73"/>
      <c r="E24" s="75">
        <f>E18*Inputs!$C$5</f>
        <v>1204.3844694119186</v>
      </c>
      <c r="F24" s="73">
        <f>F18*Inputs!$C$5</f>
        <v>0</v>
      </c>
      <c r="G24" s="73">
        <f>G18*Inputs!$C$5</f>
        <v>0</v>
      </c>
      <c r="H24" s="73"/>
      <c r="I24" s="73">
        <f>I18*Inputs!$C$5</f>
        <v>0</v>
      </c>
      <c r="J24" s="119">
        <f>J18*Inputs!$C$5</f>
        <v>1092.8809842064538</v>
      </c>
      <c r="K24" s="73">
        <f>K18*Inputs!$C$5</f>
        <v>777.98128379239813</v>
      </c>
      <c r="L24" s="73"/>
      <c r="M24" s="75">
        <f>M18*Inputs!$C$5</f>
        <v>1068.2366598262233</v>
      </c>
    </row>
    <row r="25" spans="1:13">
      <c r="A25" s="94" t="str">
        <f>'Resid TSM Sum by Rate Schedule'!A26</f>
        <v>Annualized Services Cost at 7.08%</v>
      </c>
      <c r="B25" s="119">
        <f>B19*Inputs!$C$6</f>
        <v>190.35795494332569</v>
      </c>
      <c r="C25" s="73">
        <f>C19*Inputs!$C$6</f>
        <v>441.8709452308529</v>
      </c>
      <c r="D25" s="73"/>
      <c r="E25" s="75">
        <f>E19*Inputs!$C$6</f>
        <v>197.75539583413533</v>
      </c>
      <c r="F25" s="73">
        <f>F19*Inputs!$C$6</f>
        <v>250.75761828671361</v>
      </c>
      <c r="G25" s="73">
        <f>G19*Inputs!$C$6</f>
        <v>250.75761828671364</v>
      </c>
      <c r="H25" s="73"/>
      <c r="I25" s="73">
        <f>I19*Inputs!$C$6</f>
        <v>250.75761828671364</v>
      </c>
      <c r="J25" s="119">
        <f>J19*Inputs!$C$6</f>
        <v>194.34661195656827</v>
      </c>
      <c r="K25" s="73">
        <f>K19*Inputs!$C$6</f>
        <v>314.4620606014268</v>
      </c>
      <c r="L25" s="73"/>
      <c r="M25" s="75">
        <f>M19*Inputs!$C$6</f>
        <v>203.74695141573113</v>
      </c>
    </row>
    <row r="26" spans="1:13" ht="15">
      <c r="A26" s="94" t="str">
        <f>'Resid TSM Sum by Rate Schedule'!A27</f>
        <v>Annualized Meter Cost at 10.78%</v>
      </c>
      <c r="B26" s="465">
        <f>B20*Inputs!$C$7</f>
        <v>90.415909449260226</v>
      </c>
      <c r="C26" s="464">
        <f>C20*Inputs!$C$7</f>
        <v>104.3369577115933</v>
      </c>
      <c r="D26" s="464"/>
      <c r="E26" s="463">
        <f>E20*Inputs!$C$7</f>
        <v>90.825352045211233</v>
      </c>
      <c r="F26" s="464">
        <f>F20*Inputs!$C$7</f>
        <v>116.7187778059095</v>
      </c>
      <c r="G26" s="464">
        <f>G20*Inputs!$C$7</f>
        <v>116.7187778059095</v>
      </c>
      <c r="H26" s="464"/>
      <c r="I26" s="464">
        <f>I20*Inputs!$C$7</f>
        <v>116.7187778059095</v>
      </c>
      <c r="J26" s="465">
        <f>J20*Inputs!$C$7</f>
        <v>92.152891321869191</v>
      </c>
      <c r="K26" s="464">
        <f>K20*Inputs!$C$7</f>
        <v>112.59150444113743</v>
      </c>
      <c r="L26" s="464"/>
      <c r="M26" s="463">
        <f>M20*Inputs!$C$7</f>
        <v>93.752434957290177</v>
      </c>
    </row>
    <row r="27" spans="1:13">
      <c r="A27" s="86" t="s">
        <v>312</v>
      </c>
      <c r="B27" s="119">
        <f>SUM(B24:B26)</f>
        <v>1450.9292616237387</v>
      </c>
      <c r="C27" s="73">
        <f t="shared" ref="C27:M27" si="3">SUM(C24:C26)</f>
        <v>2880.151754319641</v>
      </c>
      <c r="D27" s="73"/>
      <c r="E27" s="75">
        <f t="shared" si="3"/>
        <v>1492.9652172912652</v>
      </c>
      <c r="F27" s="73">
        <f t="shared" si="3"/>
        <v>367.47639609262308</v>
      </c>
      <c r="G27" s="73">
        <f t="shared" si="3"/>
        <v>367.47639609262313</v>
      </c>
      <c r="H27" s="73"/>
      <c r="I27" s="73">
        <f t="shared" si="3"/>
        <v>367.47639609262313</v>
      </c>
      <c r="J27" s="119">
        <f t="shared" si="3"/>
        <v>1379.3804874848913</v>
      </c>
      <c r="K27" s="73">
        <f t="shared" si="3"/>
        <v>1205.0348488349623</v>
      </c>
      <c r="L27" s="73"/>
      <c r="M27" s="75">
        <f t="shared" si="3"/>
        <v>1365.7360461992446</v>
      </c>
    </row>
    <row r="28" spans="1:13">
      <c r="A28" s="47"/>
      <c r="B28" s="114"/>
      <c r="C28" s="30"/>
      <c r="D28" s="30"/>
      <c r="E28" s="40"/>
      <c r="F28" s="30"/>
      <c r="G28" s="30"/>
      <c r="H28" s="30"/>
      <c r="I28" s="30"/>
      <c r="J28" s="114"/>
      <c r="K28" s="30"/>
      <c r="L28" s="30"/>
      <c r="M28" s="40"/>
    </row>
    <row r="29" spans="1:13">
      <c r="A29" s="36" t="s">
        <v>50</v>
      </c>
      <c r="B29" s="114">
        <f>'Sch DG-R TSM Summary'!B$29*Inputs!$C$13</f>
        <v>581.31682228195552</v>
      </c>
      <c r="C29" s="30">
        <f>'Sch DG-R TSM Summary'!C$29*Inputs!$C$13</f>
        <v>581.31682228195552</v>
      </c>
      <c r="D29" s="30"/>
      <c r="E29" s="40">
        <f>'Sch DG-R TSM Summary'!E$29*Inputs!$C$13</f>
        <v>581.31682228195552</v>
      </c>
      <c r="F29" s="30">
        <f>'Sch DG-R TSM Summary'!F$29*Inputs!$C$13</f>
        <v>144.56493907856878</v>
      </c>
      <c r="G29" s="30">
        <f>'Sch DG-R TSM Summary'!G$29*Inputs!$C$13</f>
        <v>144.56493907856878</v>
      </c>
      <c r="H29" s="30"/>
      <c r="I29" s="30">
        <f>'Sch DG-R TSM Summary'!I$29*Inputs!$C$13</f>
        <v>144.56493907856878</v>
      </c>
      <c r="J29" s="114">
        <f>'Sch DG-R TSM Summary'!J$29*Inputs!$C$13</f>
        <v>531.94487026765955</v>
      </c>
      <c r="K29" s="30">
        <f>'Sch DG-R TSM Summary'!K$29*Inputs!$C$13</f>
        <v>531.94487026765955</v>
      </c>
      <c r="L29" s="30"/>
      <c r="M29" s="40">
        <f>'Sch DG-R TSM Summary'!M$29*Inputs!$C$13</f>
        <v>531.94487026765955</v>
      </c>
    </row>
    <row r="30" spans="1:13" ht="15">
      <c r="A30" s="36" t="s">
        <v>379</v>
      </c>
      <c r="B30" s="552">
        <f>-Inputs!$C$18</f>
        <v>-3.0284021924274875</v>
      </c>
      <c r="C30" s="551">
        <f>-Inputs!$C$18</f>
        <v>-3.0284021924274875</v>
      </c>
      <c r="D30" s="551"/>
      <c r="E30" s="553">
        <f>-Inputs!$C$18</f>
        <v>-3.0284021924274875</v>
      </c>
      <c r="F30" s="551">
        <f>-Inputs!$C$18</f>
        <v>-3.0284021924274875</v>
      </c>
      <c r="G30" s="551">
        <f>-Inputs!$C$18</f>
        <v>-3.0284021924274875</v>
      </c>
      <c r="H30" s="551"/>
      <c r="I30" s="551">
        <f>-Inputs!$C$18</f>
        <v>-3.0284021924274875</v>
      </c>
      <c r="J30" s="552">
        <f>-Inputs!$C$18</f>
        <v>-3.0284021924274875</v>
      </c>
      <c r="K30" s="551">
        <f>-Inputs!$C$18</f>
        <v>-3.0284021924274875</v>
      </c>
      <c r="L30" s="551"/>
      <c r="M30" s="553">
        <f>-Inputs!$C$18</f>
        <v>-3.0284021924274875</v>
      </c>
    </row>
    <row r="31" spans="1:13">
      <c r="A31" s="36" t="s">
        <v>377</v>
      </c>
      <c r="B31" s="114">
        <f>B29+B30</f>
        <v>578.28842008952802</v>
      </c>
      <c r="C31" s="30">
        <f>C29+C30</f>
        <v>578.28842008952802</v>
      </c>
      <c r="D31" s="30"/>
      <c r="E31" s="40">
        <f>E29+E30</f>
        <v>578.28842008952802</v>
      </c>
      <c r="F31" s="30">
        <f>F29+F30</f>
        <v>141.53653688614131</v>
      </c>
      <c r="G31" s="30">
        <f>G29+G30</f>
        <v>141.53653688614131</v>
      </c>
      <c r="H31" s="30"/>
      <c r="I31" s="30">
        <f>I29+I30</f>
        <v>141.53653688614131</v>
      </c>
      <c r="J31" s="114">
        <f>J29+J30</f>
        <v>528.91646807523205</v>
      </c>
      <c r="K31" s="30">
        <f>K29+K30</f>
        <v>528.91646807523205</v>
      </c>
      <c r="L31" s="30"/>
      <c r="M31" s="40">
        <f>M29+M30</f>
        <v>528.91646807523205</v>
      </c>
    </row>
    <row r="32" spans="1:13">
      <c r="A32" s="11"/>
      <c r="B32" s="114"/>
      <c r="C32" s="30"/>
      <c r="D32" s="30"/>
      <c r="E32" s="40"/>
      <c r="F32" s="30"/>
      <c r="G32" s="30"/>
      <c r="H32" s="30"/>
      <c r="I32" s="30"/>
      <c r="J32" s="114"/>
      <c r="K32" s="30"/>
      <c r="L32" s="30"/>
      <c r="M32" s="40"/>
    </row>
    <row r="33" spans="1:13">
      <c r="A33" s="36" t="s">
        <v>57</v>
      </c>
      <c r="B33" s="114">
        <f>'Sch DG-R TSM Summary'!B31*Inputs!$C$14</f>
        <v>481.55031066335573</v>
      </c>
      <c r="C33" s="30">
        <f>'Sch DG-R TSM Summary'!C31*Inputs!$C$14</f>
        <v>481.55031066335573</v>
      </c>
      <c r="D33" s="30"/>
      <c r="E33" s="40">
        <f>'Sch DG-R TSM Summary'!E31*Inputs!$C$14</f>
        <v>481.55031066335573</v>
      </c>
      <c r="F33" s="30">
        <f>'Sch DG-R TSM Summary'!F31*Inputs!$C$14</f>
        <v>481.55031066335573</v>
      </c>
      <c r="G33" s="30">
        <f>'Sch DG-R TSM Summary'!G31*Inputs!$C$14</f>
        <v>481.55031066335573</v>
      </c>
      <c r="H33" s="30"/>
      <c r="I33" s="30">
        <f>'Sch DG-R TSM Summary'!I31*Inputs!$C$14</f>
        <v>481.55031066335573</v>
      </c>
      <c r="J33" s="114">
        <f>'Sch DG-R TSM Summary'!J31*Inputs!$C$14</f>
        <v>481.55031066335573</v>
      </c>
      <c r="K33" s="30">
        <f>'Sch DG-R TSM Summary'!K31*Inputs!$C$14</f>
        <v>481.55031066335573</v>
      </c>
      <c r="L33" s="30"/>
      <c r="M33" s="40">
        <f>'Sch DG-R TSM Summary'!M31*Inputs!$C$14</f>
        <v>481.55031066335573</v>
      </c>
    </row>
    <row r="34" spans="1:13" ht="13.5" thickBot="1">
      <c r="A34" s="15"/>
      <c r="B34" s="116"/>
      <c r="C34" s="87"/>
      <c r="D34" s="87"/>
      <c r="E34" s="88"/>
      <c r="F34" s="87"/>
      <c r="G34" s="87"/>
      <c r="H34" s="87"/>
      <c r="I34" s="87"/>
      <c r="J34" s="116"/>
      <c r="K34" s="87"/>
      <c r="L34" s="87"/>
      <c r="M34" s="88"/>
    </row>
    <row r="35" spans="1:13" ht="13.5" thickBot="1">
      <c r="A35" s="281" t="s">
        <v>133</v>
      </c>
      <c r="B35" s="282">
        <f t="shared" ref="B35:M35" si="4">B27+B31+B33</f>
        <v>2510.7679923766227</v>
      </c>
      <c r="C35" s="283">
        <f t="shared" si="4"/>
        <v>3939.9904850725252</v>
      </c>
      <c r="D35" s="283"/>
      <c r="E35" s="294">
        <f t="shared" si="4"/>
        <v>2552.8039480441494</v>
      </c>
      <c r="F35" s="283">
        <f t="shared" si="4"/>
        <v>990.56324364212014</v>
      </c>
      <c r="G35" s="283">
        <f t="shared" si="4"/>
        <v>990.56324364212014</v>
      </c>
      <c r="H35" s="283"/>
      <c r="I35" s="283">
        <f t="shared" si="4"/>
        <v>990.56324364212014</v>
      </c>
      <c r="J35" s="282">
        <f t="shared" si="4"/>
        <v>2389.847266223479</v>
      </c>
      <c r="K35" s="283">
        <f t="shared" si="4"/>
        <v>2215.5016275735497</v>
      </c>
      <c r="L35" s="283"/>
      <c r="M35" s="294">
        <f t="shared" si="4"/>
        <v>2376.2028249378327</v>
      </c>
    </row>
    <row r="36" spans="1:13">
      <c r="B36" s="13"/>
      <c r="C36" s="13"/>
      <c r="D36" s="13"/>
      <c r="E36" s="13"/>
      <c r="F36" s="13"/>
      <c r="G36" s="13"/>
      <c r="H36" s="13"/>
      <c r="I36" s="13"/>
    </row>
    <row r="38" spans="1:13">
      <c r="A38" t="s">
        <v>3</v>
      </c>
    </row>
    <row r="46" spans="1:13">
      <c r="A46" s="19"/>
    </row>
    <row r="58" spans="1:1">
      <c r="A58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51">
    <tabColor rgb="FFFFC000"/>
    <pageSetUpPr fitToPage="1"/>
  </sheetPr>
  <dimension ref="A1:FV73"/>
  <sheetViews>
    <sheetView zoomScaleNormal="100" workbookViewId="0">
      <pane ySplit="3" topLeftCell="A4" activePane="bottomLeft" state="frozen"/>
      <selection activeCell="D15" sqref="D15"/>
      <selection pane="bottomLeft" activeCell="B24" sqref="B24"/>
    </sheetView>
  </sheetViews>
  <sheetFormatPr defaultRowHeight="12.75"/>
  <cols>
    <col min="1" max="1" width="50.7109375" customWidth="1"/>
    <col min="2" max="2" width="27.5703125" customWidth="1"/>
    <col min="3" max="4" width="27.7109375" customWidth="1"/>
    <col min="5" max="6" width="11.5703125" style="52" customWidth="1"/>
    <col min="7" max="178" width="9.140625" style="52"/>
  </cols>
  <sheetData>
    <row r="1" spans="1:4" ht="18.75" thickBot="1">
      <c r="A1" s="756" t="s">
        <v>151</v>
      </c>
      <c r="B1" s="756"/>
      <c r="C1" s="756"/>
      <c r="D1" s="756"/>
    </row>
    <row r="2" spans="1:4">
      <c r="A2" s="401"/>
      <c r="B2" s="103"/>
      <c r="C2" s="401"/>
      <c r="D2" s="103" t="s">
        <v>55</v>
      </c>
    </row>
    <row r="3" spans="1:4" ht="13.5" thickBot="1">
      <c r="A3" s="402" t="s">
        <v>4</v>
      </c>
      <c r="B3" s="77" t="s">
        <v>1</v>
      </c>
      <c r="C3" s="402" t="s">
        <v>87</v>
      </c>
      <c r="D3" s="77" t="s">
        <v>2</v>
      </c>
    </row>
    <row r="4" spans="1:4">
      <c r="A4" s="5"/>
      <c r="B4" s="5" t="s">
        <v>45</v>
      </c>
      <c r="C4" s="5" t="s">
        <v>45</v>
      </c>
      <c r="D4" s="105" t="s">
        <v>45</v>
      </c>
    </row>
    <row r="5" spans="1:4">
      <c r="A5" s="10"/>
      <c r="B5" s="84"/>
      <c r="C5" s="104"/>
      <c r="D5" s="106"/>
    </row>
    <row r="6" spans="1:4">
      <c r="A6" s="21" t="s">
        <v>5</v>
      </c>
      <c r="B6" s="445"/>
      <c r="C6" s="446"/>
      <c r="D6" s="152"/>
    </row>
    <row r="7" spans="1:4">
      <c r="A7" s="20" t="s">
        <v>6</v>
      </c>
      <c r="B7" s="445"/>
      <c r="C7" s="446"/>
      <c r="D7" s="152"/>
    </row>
    <row r="8" spans="1:4">
      <c r="A8" s="21" t="s">
        <v>7</v>
      </c>
      <c r="B8" s="445"/>
      <c r="C8" s="446"/>
      <c r="D8" s="152"/>
    </row>
    <row r="9" spans="1:4">
      <c r="A9" s="21" t="s">
        <v>110</v>
      </c>
      <c r="B9" s="445"/>
      <c r="C9" s="446"/>
      <c r="D9" s="152"/>
    </row>
    <row r="10" spans="1:4">
      <c r="A10" s="21" t="s">
        <v>102</v>
      </c>
      <c r="B10" s="445"/>
      <c r="C10" s="446"/>
      <c r="D10" s="152"/>
    </row>
    <row r="11" spans="1:4">
      <c r="A11" s="21" t="s">
        <v>8</v>
      </c>
      <c r="B11" s="445"/>
      <c r="C11" s="446"/>
      <c r="D11" s="152"/>
    </row>
    <row r="12" spans="1:4">
      <c r="A12" s="21" t="s">
        <v>9</v>
      </c>
      <c r="B12" s="445"/>
      <c r="C12" s="446"/>
      <c r="D12" s="152"/>
    </row>
    <row r="13" spans="1:4">
      <c r="A13" s="21" t="s">
        <v>10</v>
      </c>
      <c r="B13" s="445"/>
      <c r="C13" s="446"/>
      <c r="D13" s="152"/>
    </row>
    <row r="14" spans="1:4">
      <c r="A14" s="21" t="s">
        <v>11</v>
      </c>
      <c r="B14" s="445"/>
      <c r="C14" s="446"/>
      <c r="D14" s="152"/>
    </row>
    <row r="15" spans="1:4">
      <c r="A15" s="21" t="s">
        <v>106</v>
      </c>
      <c r="B15" s="445"/>
      <c r="C15" s="446"/>
      <c r="D15" s="152"/>
    </row>
    <row r="16" spans="1:4">
      <c r="A16" s="21" t="s">
        <v>107</v>
      </c>
      <c r="B16" s="445"/>
      <c r="C16" s="446"/>
      <c r="D16" s="152"/>
    </row>
    <row r="17" spans="1:178">
      <c r="A17" s="21" t="s">
        <v>12</v>
      </c>
      <c r="B17" s="445"/>
      <c r="C17" s="446"/>
      <c r="D17" s="152"/>
    </row>
    <row r="18" spans="1:178">
      <c r="A18" s="21" t="s">
        <v>13</v>
      </c>
      <c r="B18" s="445"/>
      <c r="C18" s="446"/>
      <c r="D18" s="152"/>
    </row>
    <row r="19" spans="1:178" s="154" customFormat="1">
      <c r="A19" s="21" t="s">
        <v>108</v>
      </c>
      <c r="B19" s="445"/>
      <c r="C19" s="446"/>
      <c r="D19" s="152"/>
      <c r="E19" s="182"/>
      <c r="F19" s="18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52"/>
      <c r="FB19" s="52"/>
      <c r="FC19" s="52"/>
      <c r="FD19" s="52"/>
      <c r="FE19" s="52"/>
      <c r="FF19" s="52"/>
      <c r="FG19" s="52"/>
      <c r="FH19" s="52"/>
      <c r="FI19" s="52"/>
      <c r="FJ19" s="52"/>
      <c r="FK19" s="52"/>
      <c r="FL19" s="52"/>
      <c r="FM19" s="52"/>
      <c r="FN19" s="52"/>
      <c r="FO19" s="52"/>
      <c r="FP19" s="52"/>
      <c r="FQ19" s="52"/>
      <c r="FR19" s="52"/>
      <c r="FS19" s="52"/>
      <c r="FT19" s="52"/>
      <c r="FU19" s="52"/>
      <c r="FV19" s="52"/>
    </row>
    <row r="20" spans="1:178" s="154" customFormat="1">
      <c r="A20" s="21" t="s">
        <v>109</v>
      </c>
      <c r="B20" s="445"/>
      <c r="C20" s="446"/>
      <c r="D20" s="152"/>
      <c r="E20" s="182"/>
      <c r="F20" s="18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</row>
    <row r="21" spans="1:178">
      <c r="A21" s="21" t="s">
        <v>14</v>
      </c>
      <c r="B21" s="445"/>
      <c r="C21" s="446"/>
      <c r="D21" s="152"/>
    </row>
    <row r="22" spans="1:178">
      <c r="A22" s="21" t="s">
        <v>15</v>
      </c>
      <c r="B22" s="491"/>
      <c r="C22" s="491"/>
      <c r="D22" s="152"/>
    </row>
    <row r="23" spans="1:178">
      <c r="A23" s="21" t="s">
        <v>16</v>
      </c>
      <c r="B23" s="491"/>
      <c r="C23" s="491"/>
      <c r="D23" s="152"/>
    </row>
    <row r="24" spans="1:178">
      <c r="A24" s="21" t="s">
        <v>17</v>
      </c>
      <c r="B24" s="491">
        <v>1</v>
      </c>
      <c r="C24" s="491"/>
      <c r="D24" s="152">
        <f t="shared" ref="D24" si="0">B24+C24</f>
        <v>1</v>
      </c>
    </row>
    <row r="25" spans="1:178">
      <c r="A25" s="21" t="s">
        <v>18</v>
      </c>
      <c r="B25" s="491"/>
      <c r="C25" s="491"/>
      <c r="D25" s="152"/>
    </row>
    <row r="26" spans="1:178">
      <c r="A26" s="21" t="s">
        <v>19</v>
      </c>
      <c r="B26" s="491"/>
      <c r="C26" s="491"/>
      <c r="D26" s="152"/>
      <c r="E26" s="89"/>
      <c r="F26" s="89"/>
      <c r="G26" s="89"/>
    </row>
    <row r="27" spans="1:178">
      <c r="A27" s="21" t="s">
        <v>20</v>
      </c>
      <c r="B27" s="491"/>
      <c r="C27" s="491"/>
      <c r="D27" s="152"/>
      <c r="E27" s="89"/>
      <c r="F27" s="89"/>
      <c r="G27" s="89"/>
    </row>
    <row r="28" spans="1:178">
      <c r="A28" s="21" t="s">
        <v>21</v>
      </c>
      <c r="B28" s="491"/>
      <c r="C28" s="491"/>
      <c r="D28" s="152"/>
      <c r="E28" s="89"/>
      <c r="F28" s="89"/>
      <c r="G28" s="89"/>
    </row>
    <row r="29" spans="1:178">
      <c r="A29" s="21" t="s">
        <v>22</v>
      </c>
      <c r="B29" s="491"/>
      <c r="C29" s="491"/>
      <c r="D29" s="152"/>
      <c r="E29" s="89"/>
      <c r="F29" s="90"/>
      <c r="G29" s="89"/>
    </row>
    <row r="30" spans="1:178">
      <c r="A30" s="21" t="s">
        <v>23</v>
      </c>
      <c r="B30" s="491"/>
      <c r="C30" s="491"/>
      <c r="D30" s="152"/>
      <c r="E30" s="89"/>
      <c r="F30" s="89"/>
      <c r="G30" s="89"/>
    </row>
    <row r="31" spans="1:178">
      <c r="A31" s="21" t="s">
        <v>24</v>
      </c>
      <c r="B31" s="491"/>
      <c r="C31" s="491"/>
      <c r="D31" s="152"/>
      <c r="E31" s="89"/>
      <c r="F31" s="89"/>
      <c r="G31" s="89"/>
    </row>
    <row r="32" spans="1:178">
      <c r="A32" s="21" t="s">
        <v>25</v>
      </c>
      <c r="B32" s="491"/>
      <c r="C32" s="491"/>
      <c r="D32" s="152"/>
      <c r="E32" s="89"/>
      <c r="F32" s="89"/>
      <c r="G32" s="89"/>
    </row>
    <row r="33" spans="1:178">
      <c r="A33" s="21" t="s">
        <v>111</v>
      </c>
      <c r="B33" s="491"/>
      <c r="C33" s="491"/>
      <c r="D33" s="152"/>
      <c r="E33" s="89"/>
      <c r="F33" s="89"/>
      <c r="G33" s="89"/>
    </row>
    <row r="34" spans="1:178" s="154" customFormat="1">
      <c r="A34" s="104" t="s">
        <v>112</v>
      </c>
      <c r="B34" s="491"/>
      <c r="C34" s="491"/>
      <c r="D34" s="152"/>
      <c r="E34" s="183"/>
      <c r="F34" s="183"/>
      <c r="G34" s="89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2"/>
      <c r="CA34" s="52"/>
      <c r="CB34" s="52"/>
      <c r="CC34" s="52"/>
      <c r="CD34" s="52"/>
      <c r="CE34" s="52"/>
      <c r="CF34" s="52"/>
      <c r="CG34" s="52"/>
      <c r="CH34" s="52"/>
      <c r="CI34" s="52"/>
      <c r="CJ34" s="52"/>
      <c r="CK34" s="52"/>
      <c r="CL34" s="52"/>
      <c r="CM34" s="52"/>
      <c r="CN34" s="52"/>
      <c r="CO34" s="52"/>
      <c r="CP34" s="52"/>
      <c r="CQ34" s="52"/>
      <c r="CR34" s="52"/>
      <c r="CS34" s="52"/>
      <c r="CT34" s="52"/>
      <c r="CU34" s="52"/>
      <c r="CV34" s="52"/>
      <c r="CW34" s="52"/>
      <c r="CX34" s="52"/>
      <c r="CY34" s="52"/>
      <c r="CZ34" s="52"/>
      <c r="DA34" s="52"/>
      <c r="DB34" s="52"/>
      <c r="DC34" s="52"/>
      <c r="DD34" s="52"/>
      <c r="DE34" s="52"/>
      <c r="DF34" s="52"/>
      <c r="DG34" s="52"/>
      <c r="DH34" s="52"/>
      <c r="DI34" s="52"/>
      <c r="DJ34" s="52"/>
      <c r="DK34" s="52"/>
      <c r="DL34" s="52"/>
      <c r="DM34" s="52"/>
      <c r="DN34" s="52"/>
      <c r="DO34" s="52"/>
      <c r="DP34" s="52"/>
      <c r="DQ34" s="52"/>
      <c r="DR34" s="52"/>
      <c r="DS34" s="52"/>
      <c r="DT34" s="52"/>
      <c r="DU34" s="52"/>
      <c r="DV34" s="52"/>
      <c r="DW34" s="52"/>
      <c r="DX34" s="52"/>
      <c r="DY34" s="52"/>
      <c r="DZ34" s="52"/>
      <c r="EA34" s="52"/>
      <c r="EB34" s="52"/>
      <c r="EC34" s="52"/>
      <c r="ED34" s="52"/>
      <c r="EE34" s="52"/>
      <c r="EF34" s="52"/>
      <c r="EG34" s="52"/>
      <c r="EH34" s="52"/>
      <c r="EI34" s="52"/>
      <c r="EJ34" s="52"/>
      <c r="EK34" s="52"/>
      <c r="EL34" s="52"/>
      <c r="EM34" s="52"/>
      <c r="EN34" s="52"/>
      <c r="EO34" s="52"/>
      <c r="EP34" s="52"/>
      <c r="EQ34" s="52"/>
      <c r="ER34" s="52"/>
      <c r="ES34" s="52"/>
      <c r="ET34" s="52"/>
      <c r="EU34" s="52"/>
      <c r="EV34" s="52"/>
      <c r="EW34" s="52"/>
      <c r="EX34" s="52"/>
      <c r="EY34" s="52"/>
      <c r="EZ34" s="52"/>
      <c r="FA34" s="52"/>
      <c r="FB34" s="52"/>
      <c r="FC34" s="52"/>
      <c r="FD34" s="52"/>
      <c r="FE34" s="52"/>
      <c r="FF34" s="52"/>
      <c r="FG34" s="52"/>
      <c r="FH34" s="52"/>
      <c r="FI34" s="52"/>
      <c r="FJ34" s="52"/>
      <c r="FK34" s="52"/>
      <c r="FL34" s="52"/>
      <c r="FM34" s="52"/>
      <c r="FN34" s="52"/>
      <c r="FO34" s="52"/>
      <c r="FP34" s="52"/>
      <c r="FQ34" s="52"/>
      <c r="FR34" s="52"/>
      <c r="FS34" s="52"/>
      <c r="FT34" s="52"/>
      <c r="FU34" s="52"/>
      <c r="FV34" s="52"/>
    </row>
    <row r="35" spans="1:178">
      <c r="A35" s="104" t="s">
        <v>26</v>
      </c>
      <c r="B35" s="491"/>
      <c r="C35" s="491"/>
      <c r="D35" s="152"/>
      <c r="E35" s="89"/>
      <c r="F35" s="89"/>
      <c r="G35" s="89"/>
    </row>
    <row r="36" spans="1:178">
      <c r="A36" s="104" t="s">
        <v>27</v>
      </c>
      <c r="B36" s="491"/>
      <c r="C36" s="491"/>
      <c r="D36" s="152"/>
      <c r="E36" s="183"/>
      <c r="F36" s="183"/>
      <c r="G36" s="89"/>
    </row>
    <row r="37" spans="1:178" ht="13.5" thickBot="1">
      <c r="A37" s="104"/>
      <c r="B37" s="447"/>
      <c r="C37" s="448"/>
      <c r="D37" s="214"/>
      <c r="E37" s="89"/>
      <c r="F37" s="89"/>
      <c r="G37" s="89"/>
    </row>
    <row r="38" spans="1:178" ht="13.5" thickBot="1">
      <c r="A38" s="211" t="s">
        <v>2</v>
      </c>
      <c r="B38" s="386">
        <f>SUM(B4:B37)</f>
        <v>1</v>
      </c>
      <c r="C38" s="387"/>
      <c r="D38" s="386">
        <f>SUM(D4:D37)</f>
        <v>1</v>
      </c>
      <c r="E38" s="89"/>
      <c r="F38" s="89"/>
      <c r="G38" s="89"/>
    </row>
    <row r="39" spans="1:178">
      <c r="A39" s="124" t="s">
        <v>149</v>
      </c>
      <c r="B39" s="365">
        <f>SUM(B6:B19)</f>
        <v>0</v>
      </c>
      <c r="C39" s="365"/>
      <c r="D39" s="365">
        <f>SUM(D6:D19)</f>
        <v>0</v>
      </c>
      <c r="E39" s="89"/>
      <c r="F39" s="89"/>
      <c r="G39" s="89"/>
    </row>
    <row r="40" spans="1:178">
      <c r="A40" s="124" t="s">
        <v>124</v>
      </c>
      <c r="B40" s="365">
        <f>SUM(B20:B33)</f>
        <v>1</v>
      </c>
      <c r="C40" s="365"/>
      <c r="D40" s="365">
        <f>SUM(D20:D33)</f>
        <v>1</v>
      </c>
      <c r="E40" s="89"/>
      <c r="F40" s="89"/>
      <c r="G40" s="89"/>
    </row>
    <row r="41" spans="1:178" ht="13.5" thickBot="1">
      <c r="A41" s="179" t="s">
        <v>88</v>
      </c>
      <c r="B41" s="366">
        <f>SUM(B34:B36)</f>
        <v>0</v>
      </c>
      <c r="C41" s="366"/>
      <c r="D41" s="367">
        <f>SUM(D34:D36)</f>
        <v>0</v>
      </c>
      <c r="E41" s="89"/>
      <c r="F41" s="89"/>
      <c r="G41" s="89"/>
    </row>
    <row r="42" spans="1:178">
      <c r="A42" s="5"/>
      <c r="B42" s="6"/>
      <c r="C42" s="434"/>
      <c r="D42" s="435"/>
      <c r="E42" s="89"/>
      <c r="F42" s="89"/>
      <c r="G42" s="89"/>
    </row>
    <row r="43" spans="1:178">
      <c r="A43" s="29" t="s">
        <v>307</v>
      </c>
      <c r="B43" s="12"/>
      <c r="C43" s="155"/>
      <c r="D43" s="436"/>
      <c r="E43" s="89"/>
      <c r="F43" s="89"/>
      <c r="G43" s="89"/>
    </row>
    <row r="44" spans="1:178">
      <c r="A44" s="29"/>
      <c r="B44" s="421" t="s">
        <v>403</v>
      </c>
      <c r="C44" s="155"/>
      <c r="D44" s="436"/>
      <c r="E44" s="89"/>
      <c r="F44" s="89"/>
      <c r="G44" s="89"/>
    </row>
    <row r="45" spans="1:178" ht="13.5" thickBot="1">
      <c r="A45" s="72"/>
      <c r="B45" s="438" t="s">
        <v>306</v>
      </c>
      <c r="C45" s="173"/>
      <c r="D45" s="331"/>
      <c r="E45" s="89"/>
      <c r="F45" s="89"/>
      <c r="G45" s="89"/>
    </row>
    <row r="46" spans="1:178">
      <c r="A46" s="8"/>
      <c r="B46" s="8"/>
      <c r="C46" s="155"/>
      <c r="D46" s="155"/>
      <c r="E46" s="89"/>
      <c r="F46" s="89"/>
      <c r="G46" s="89"/>
    </row>
    <row r="47" spans="1:178">
      <c r="A47" s="264" t="s">
        <v>91</v>
      </c>
      <c r="B47" s="18">
        <f>SUM(B39:B41)-B38</f>
        <v>0</v>
      </c>
      <c r="C47" s="18">
        <f>SUM(C39:C41)-C38</f>
        <v>0</v>
      </c>
      <c r="D47" s="18">
        <f>SUM(D39:D41)-D38</f>
        <v>0</v>
      </c>
      <c r="E47" s="89"/>
      <c r="F47" s="89"/>
      <c r="G47" s="89"/>
    </row>
    <row r="48" spans="1:178">
      <c r="A48" s="120"/>
      <c r="B48" s="120"/>
      <c r="C48" s="90"/>
      <c r="D48" s="13"/>
      <c r="E48" s="89"/>
      <c r="F48" s="89"/>
      <c r="G48" s="89"/>
    </row>
    <row r="49" spans="1:7">
      <c r="A49" s="120"/>
      <c r="B49" s="120"/>
      <c r="C49" s="155"/>
      <c r="D49" s="155"/>
      <c r="E49" s="89"/>
      <c r="F49" s="90"/>
      <c r="G49" s="89"/>
    </row>
    <row r="50" spans="1:7">
      <c r="A50" s="120"/>
      <c r="B50" s="120"/>
      <c r="C50" s="13"/>
      <c r="D50" s="13"/>
      <c r="E50" s="89"/>
      <c r="F50" s="89"/>
      <c r="G50" s="89"/>
    </row>
    <row r="51" spans="1:7">
      <c r="A51" s="120"/>
      <c r="B51" s="120"/>
      <c r="C51" s="184"/>
      <c r="D51" s="13"/>
      <c r="E51" s="89"/>
      <c r="F51" s="89"/>
      <c r="G51" s="89"/>
    </row>
    <row r="52" spans="1:7">
      <c r="A52" s="120"/>
      <c r="B52" s="120"/>
      <c r="C52" s="12"/>
      <c r="D52" s="12"/>
      <c r="E52" s="89"/>
      <c r="F52" s="89"/>
      <c r="G52" s="89"/>
    </row>
    <row r="53" spans="1:7">
      <c r="A53" s="21"/>
      <c r="B53" s="120"/>
    </row>
    <row r="54" spans="1:7">
      <c r="A54" s="21"/>
      <c r="B54" s="120"/>
    </row>
    <row r="55" spans="1:7">
      <c r="A55" s="21"/>
      <c r="B55" s="120"/>
    </row>
    <row r="56" spans="1:7">
      <c r="A56" s="21"/>
      <c r="B56" s="120"/>
    </row>
    <row r="57" spans="1:7">
      <c r="A57" s="21"/>
      <c r="B57" s="120"/>
    </row>
    <row r="58" spans="1:7">
      <c r="A58" s="21"/>
      <c r="B58" s="120"/>
    </row>
    <row r="59" spans="1:7">
      <c r="A59" s="21"/>
      <c r="B59" s="120"/>
    </row>
    <row r="60" spans="1:7">
      <c r="A60" s="21"/>
      <c r="B60" s="120"/>
    </row>
    <row r="61" spans="1:7">
      <c r="A61" s="19"/>
      <c r="B61" s="19"/>
    </row>
    <row r="73" spans="1:2">
      <c r="A73" s="19"/>
      <c r="B73" s="19"/>
    </row>
  </sheetData>
  <mergeCells count="1">
    <mergeCell ref="A1:D1"/>
  </mergeCells>
  <phoneticPr fontId="0" type="noConversion"/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52">
    <tabColor rgb="FFFFC000"/>
    <pageSetUpPr fitToPage="1"/>
  </sheetPr>
  <dimension ref="A1:N62"/>
  <sheetViews>
    <sheetView zoomScaleNormal="100" workbookViewId="0">
      <pane ySplit="4" topLeftCell="A17" activePane="bottomLeft" state="frozen"/>
      <selection activeCell="D15" sqref="D15"/>
      <selection pane="bottomLeft" activeCell="D15" sqref="D15"/>
    </sheetView>
  </sheetViews>
  <sheetFormatPr defaultRowHeight="12.75"/>
  <cols>
    <col min="1" max="1" width="29.28515625" customWidth="1"/>
    <col min="2" max="2" width="12.85546875" bestFit="1" customWidth="1"/>
    <col min="3" max="5" width="11.140625" customWidth="1"/>
    <col min="6" max="6" width="12.85546875" bestFit="1" customWidth="1"/>
    <col min="7" max="9" width="11.140625" customWidth="1"/>
    <col min="10" max="10" width="12.85546875" bestFit="1" customWidth="1"/>
    <col min="11" max="13" width="10.28515625" customWidth="1"/>
    <col min="14" max="14" width="10.28515625" bestFit="1" customWidth="1"/>
  </cols>
  <sheetData>
    <row r="1" spans="1:13" ht="18.75" thickBot="1">
      <c r="A1" s="756" t="s">
        <v>150</v>
      </c>
      <c r="B1" s="756"/>
      <c r="C1" s="756"/>
      <c r="D1" s="756"/>
      <c r="E1" s="756"/>
      <c r="F1" s="231"/>
    </row>
    <row r="2" spans="1:13" ht="13.5" thickBot="1">
      <c r="A2" s="232"/>
      <c r="B2" s="742" t="s">
        <v>118</v>
      </c>
      <c r="C2" s="743"/>
      <c r="D2" s="743"/>
      <c r="E2" s="744"/>
      <c r="F2" s="742" t="s">
        <v>208</v>
      </c>
      <c r="G2" s="743"/>
      <c r="H2" s="743"/>
      <c r="I2" s="743"/>
      <c r="J2" s="743" t="s">
        <v>210</v>
      </c>
      <c r="K2" s="743"/>
      <c r="L2" s="743"/>
      <c r="M2" s="744"/>
    </row>
    <row r="3" spans="1:13" ht="13.5" thickBot="1">
      <c r="A3" s="235" t="s">
        <v>4</v>
      </c>
      <c r="B3" s="235" t="s">
        <v>36</v>
      </c>
      <c r="C3" s="236" t="s">
        <v>37</v>
      </c>
      <c r="D3" s="236" t="s">
        <v>38</v>
      </c>
      <c r="E3" s="237" t="s">
        <v>41</v>
      </c>
      <c r="F3" s="235" t="s">
        <v>36</v>
      </c>
      <c r="G3" s="236" t="s">
        <v>37</v>
      </c>
      <c r="H3" s="236" t="s">
        <v>38</v>
      </c>
      <c r="I3" s="236" t="s">
        <v>41</v>
      </c>
      <c r="J3" s="235" t="s">
        <v>36</v>
      </c>
      <c r="K3" s="236" t="s">
        <v>37</v>
      </c>
      <c r="L3" s="236" t="s">
        <v>38</v>
      </c>
      <c r="M3" s="237" t="s">
        <v>41</v>
      </c>
    </row>
    <row r="4" spans="1:13">
      <c r="A4" s="5"/>
      <c r="B4" s="5" t="s">
        <v>42</v>
      </c>
      <c r="C4" s="6" t="s">
        <v>42</v>
      </c>
      <c r="D4" s="6" t="s">
        <v>42</v>
      </c>
      <c r="E4" s="7" t="s">
        <v>43</v>
      </c>
      <c r="F4" s="5" t="s">
        <v>42</v>
      </c>
      <c r="G4" s="122" t="s">
        <v>42</v>
      </c>
      <c r="H4" s="122" t="s">
        <v>42</v>
      </c>
      <c r="I4" s="122" t="s">
        <v>43</v>
      </c>
      <c r="J4" s="104" t="s">
        <v>42</v>
      </c>
      <c r="K4" s="120" t="s">
        <v>42</v>
      </c>
      <c r="L4" s="120" t="s">
        <v>42</v>
      </c>
      <c r="M4" s="265" t="s">
        <v>43</v>
      </c>
    </row>
    <row r="5" spans="1:13">
      <c r="A5" s="10"/>
      <c r="B5" s="10"/>
      <c r="C5" s="8"/>
      <c r="D5" s="8"/>
      <c r="E5" s="9"/>
      <c r="F5" s="10"/>
      <c r="G5" s="12"/>
      <c r="H5" s="12"/>
      <c r="I5" s="12"/>
      <c r="J5" s="11"/>
      <c r="K5" s="12"/>
      <c r="L5" s="12"/>
      <c r="M5" s="76"/>
    </row>
    <row r="6" spans="1:13">
      <c r="A6" s="21" t="s">
        <v>5</v>
      </c>
      <c r="B6" s="21"/>
      <c r="C6" s="23">
        <f>'Sch A6-TOU Cust Fcst '!$B6*'Non-Residential TSM UC Adj'!S7</f>
        <v>0</v>
      </c>
      <c r="D6" s="23">
        <f>'Sch A6-TOU Cust Fcst '!$B6*'Non-Residential TSM UC Adj'!T7</f>
        <v>0</v>
      </c>
      <c r="E6" s="41">
        <f>IF(SUM(C6:D6)=0,0,SUM(C6:D6)/'Sch A6-TOU Cust Fcst '!B6)</f>
        <v>0</v>
      </c>
      <c r="F6" s="21"/>
      <c r="G6" s="57">
        <f>'Sch A6-TOU Cust Fcst '!$C6*'Non-Residential TSM UC Adj'!W7</f>
        <v>0</v>
      </c>
      <c r="H6" s="57">
        <f>'Sch A6-TOU Cust Fcst '!$C6*'Non-Residential TSM UC Adj'!X7</f>
        <v>0</v>
      </c>
      <c r="I6" s="23">
        <f>IF(SUM(G6:H6)=0,0,SUM(G6:H6)/'Sch A6-TOU Cust Fcst '!C6)</f>
        <v>0</v>
      </c>
      <c r="J6" s="11"/>
      <c r="K6" s="25">
        <f t="shared" ref="K6:K16" si="0">C6+G6</f>
        <v>0</v>
      </c>
      <c r="L6" s="25">
        <f t="shared" ref="L6:L16" si="1">D6+H6</f>
        <v>0</v>
      </c>
      <c r="M6" s="41">
        <f>IF(SUM(K6:L6)=0,0,SUM(K6:L6)/'Sch A6-TOU Cust Fcst '!D6)</f>
        <v>0</v>
      </c>
    </row>
    <row r="7" spans="1:13">
      <c r="A7" s="21" t="s">
        <v>6</v>
      </c>
      <c r="B7" s="21"/>
      <c r="C7" s="23">
        <f>'Sch A6-TOU Cust Fcst '!$B7*'Non-Residential TSM UC Adj'!S8</f>
        <v>0</v>
      </c>
      <c r="D7" s="23">
        <f>'Sch A6-TOU Cust Fcst '!$B7*'Non-Residential TSM UC Adj'!T8</f>
        <v>0</v>
      </c>
      <c r="E7" s="41">
        <f>IF(SUM(C7:D7)=0,0,SUM(C7:D7)/'Sch A6-TOU Cust Fcst '!B7)</f>
        <v>0</v>
      </c>
      <c r="F7" s="21"/>
      <c r="G7" s="57">
        <f>'Sch A6-TOU Cust Fcst '!$C7*'Non-Residential TSM UC Adj'!W8</f>
        <v>0</v>
      </c>
      <c r="H7" s="57">
        <f>'Sch A6-TOU Cust Fcst '!$C7*'Non-Residential TSM UC Adj'!X8</f>
        <v>0</v>
      </c>
      <c r="I7" s="23">
        <f>IF(SUM(G7:H7)=0,0,SUM(G7:H7)/'Sch A6-TOU Cust Fcst '!C7)</f>
        <v>0</v>
      </c>
      <c r="J7" s="11"/>
      <c r="K7" s="25">
        <f t="shared" si="0"/>
        <v>0</v>
      </c>
      <c r="L7" s="25">
        <f t="shared" si="1"/>
        <v>0</v>
      </c>
      <c r="M7" s="41">
        <f>IF(SUM(K7:L7)=0,0,SUM(K7:L7)/'Sch A6-TOU Cust Fcst '!D7)</f>
        <v>0</v>
      </c>
    </row>
    <row r="8" spans="1:13">
      <c r="A8" s="21" t="s">
        <v>7</v>
      </c>
      <c r="B8" s="21"/>
      <c r="C8" s="23">
        <f>'Sch A6-TOU Cust Fcst '!$B8*'Non-Residential TSM UC Adj'!S9</f>
        <v>0</v>
      </c>
      <c r="D8" s="23">
        <f>'Sch A6-TOU Cust Fcst '!$B8*'Non-Residential TSM UC Adj'!T9</f>
        <v>0</v>
      </c>
      <c r="E8" s="41">
        <f>IF(SUM(C8:D8)=0,0,SUM(C8:D8)/'Sch A6-TOU Cust Fcst '!B8)</f>
        <v>0</v>
      </c>
      <c r="F8" s="21"/>
      <c r="G8" s="57">
        <f>'Sch A6-TOU Cust Fcst '!$C8*'Non-Residential TSM UC Adj'!W9</f>
        <v>0</v>
      </c>
      <c r="H8" s="57">
        <f>'Sch A6-TOU Cust Fcst '!$C8*'Non-Residential TSM UC Adj'!X9</f>
        <v>0</v>
      </c>
      <c r="I8" s="23">
        <f>IF(SUM(G8:H8)=0,0,SUM(G8:H8)/'Sch A6-TOU Cust Fcst '!C8)</f>
        <v>0</v>
      </c>
      <c r="J8" s="11"/>
      <c r="K8" s="25">
        <f t="shared" si="0"/>
        <v>0</v>
      </c>
      <c r="L8" s="25">
        <f t="shared" si="1"/>
        <v>0</v>
      </c>
      <c r="M8" s="41">
        <f>IF(SUM(K8:L8)=0,0,SUM(K8:L8)/'Sch A6-TOU Cust Fcst '!D8)</f>
        <v>0</v>
      </c>
    </row>
    <row r="9" spans="1:13">
      <c r="A9" s="21" t="s">
        <v>110</v>
      </c>
      <c r="B9" s="21"/>
      <c r="C9" s="23">
        <f>'Sch A6-TOU Cust Fcst '!$B9*'Non-Residential TSM UC Adj'!S10</f>
        <v>0</v>
      </c>
      <c r="D9" s="23">
        <f>'Sch A6-TOU Cust Fcst '!$B9*'Non-Residential TSM UC Adj'!T10</f>
        <v>0</v>
      </c>
      <c r="E9" s="41">
        <f>IF(SUM(C9:D9)=0,0,SUM(C9:D9)/'Sch A6-TOU Cust Fcst '!B9)</f>
        <v>0</v>
      </c>
      <c r="F9" s="21"/>
      <c r="G9" s="57">
        <f>'Sch A6-TOU Cust Fcst '!$C9*'Non-Residential TSM UC Adj'!W10</f>
        <v>0</v>
      </c>
      <c r="H9" s="57">
        <f>'Sch A6-TOU Cust Fcst '!$C9*'Non-Residential TSM UC Adj'!X10</f>
        <v>0</v>
      </c>
      <c r="I9" s="23">
        <f>IF(SUM(G9:H9)=0,0,SUM(G9:H9)/'Sch A6-TOU Cust Fcst '!C9)</f>
        <v>0</v>
      </c>
      <c r="J9" s="11"/>
      <c r="K9" s="25">
        <f t="shared" si="0"/>
        <v>0</v>
      </c>
      <c r="L9" s="25">
        <f t="shared" si="1"/>
        <v>0</v>
      </c>
      <c r="M9" s="41">
        <f>IF(SUM(K9:L9)=0,0,SUM(K9:L9)/'Sch A6-TOU Cust Fcst '!D9)</f>
        <v>0</v>
      </c>
    </row>
    <row r="10" spans="1:13">
      <c r="A10" s="21" t="s">
        <v>102</v>
      </c>
      <c r="B10" s="21"/>
      <c r="C10" s="23">
        <f>'Sch A6-TOU Cust Fcst '!$B10*'Non-Residential TSM UC Adj'!S11</f>
        <v>0</v>
      </c>
      <c r="D10" s="23">
        <f>'Sch A6-TOU Cust Fcst '!$B10*'Non-Residential TSM UC Adj'!T11</f>
        <v>0</v>
      </c>
      <c r="E10" s="41">
        <f>IF(SUM(C10:D10)=0,0,SUM(C10:D10)/'Sch A6-TOU Cust Fcst '!B10)</f>
        <v>0</v>
      </c>
      <c r="F10" s="21"/>
      <c r="G10" s="57">
        <f>'Sch A6-TOU Cust Fcst '!$C10*'Non-Residential TSM UC Adj'!W11</f>
        <v>0</v>
      </c>
      <c r="H10" s="57">
        <f>'Sch A6-TOU Cust Fcst '!$C10*'Non-Residential TSM UC Adj'!X11</f>
        <v>0</v>
      </c>
      <c r="I10" s="23">
        <f>IF(SUM(G10:H10)=0,0,SUM(G10:H10)/'Sch A6-TOU Cust Fcst '!C10)</f>
        <v>0</v>
      </c>
      <c r="J10" s="11"/>
      <c r="K10" s="25">
        <f t="shared" si="0"/>
        <v>0</v>
      </c>
      <c r="L10" s="25">
        <f t="shared" si="1"/>
        <v>0</v>
      </c>
      <c r="M10" s="41">
        <f>IF(SUM(K10:L10)=0,0,SUM(K10:L10)/'Sch A6-TOU Cust Fcst '!D10)</f>
        <v>0</v>
      </c>
    </row>
    <row r="11" spans="1:13">
      <c r="A11" s="21" t="s">
        <v>8</v>
      </c>
      <c r="B11" s="21"/>
      <c r="C11" s="23">
        <f>'Sch A6-TOU Cust Fcst '!$B11*'Non-Residential TSM UC Adj'!S12</f>
        <v>0</v>
      </c>
      <c r="D11" s="23">
        <f>'Sch A6-TOU Cust Fcst '!$B11*'Non-Residential TSM UC Adj'!T12</f>
        <v>0</v>
      </c>
      <c r="E11" s="41">
        <f>IF(SUM(C11:D11)=0,0,SUM(C11:D11)/'Sch A6-TOU Cust Fcst '!B11)</f>
        <v>0</v>
      </c>
      <c r="F11" s="21"/>
      <c r="G11" s="57">
        <f>'Sch A6-TOU Cust Fcst '!$C11*'Non-Residential TSM UC Adj'!W12</f>
        <v>0</v>
      </c>
      <c r="H11" s="57">
        <f>'Sch A6-TOU Cust Fcst '!$C11*'Non-Residential TSM UC Adj'!X12</f>
        <v>0</v>
      </c>
      <c r="I11" s="23">
        <f>IF(SUM(G11:H11)=0,0,SUM(G11:H11)/'Sch A6-TOU Cust Fcst '!C11)</f>
        <v>0</v>
      </c>
      <c r="J11" s="11"/>
      <c r="K11" s="25">
        <f t="shared" si="0"/>
        <v>0</v>
      </c>
      <c r="L11" s="25">
        <f t="shared" si="1"/>
        <v>0</v>
      </c>
      <c r="M11" s="41">
        <f>IF(SUM(K11:L11)=0,0,SUM(K11:L11)/'Sch A6-TOU Cust Fcst '!D11)</f>
        <v>0</v>
      </c>
    </row>
    <row r="12" spans="1:13">
      <c r="A12" s="21" t="s">
        <v>9</v>
      </c>
      <c r="B12" s="21"/>
      <c r="C12" s="23">
        <f>'Sch A6-TOU Cust Fcst '!$B12*'Non-Residential TSM UC Adj'!S13</f>
        <v>0</v>
      </c>
      <c r="D12" s="23">
        <f>'Sch A6-TOU Cust Fcst '!$B12*'Non-Residential TSM UC Adj'!T13</f>
        <v>0</v>
      </c>
      <c r="E12" s="41">
        <f>IF(SUM(C12:D12)=0,0,SUM(C12:D12)/'Sch A6-TOU Cust Fcst '!B12)</f>
        <v>0</v>
      </c>
      <c r="F12" s="21"/>
      <c r="G12" s="57">
        <f>'Sch A6-TOU Cust Fcst '!$C12*'Non-Residential TSM UC Adj'!W13</f>
        <v>0</v>
      </c>
      <c r="H12" s="57">
        <f>'Sch A6-TOU Cust Fcst '!$C12*'Non-Residential TSM UC Adj'!X13</f>
        <v>0</v>
      </c>
      <c r="I12" s="23">
        <f>IF(SUM(G12:H12)=0,0,SUM(G12:H12)/'Sch A6-TOU Cust Fcst '!C12)</f>
        <v>0</v>
      </c>
      <c r="J12" s="11"/>
      <c r="K12" s="25">
        <f t="shared" si="0"/>
        <v>0</v>
      </c>
      <c r="L12" s="25">
        <f t="shared" si="1"/>
        <v>0</v>
      </c>
      <c r="M12" s="41">
        <f>IF(SUM(K12:L12)=0,0,SUM(K12:L12)/'Sch A6-TOU Cust Fcst '!D12)</f>
        <v>0</v>
      </c>
    </row>
    <row r="13" spans="1:13">
      <c r="A13" s="21" t="s">
        <v>10</v>
      </c>
      <c r="B13" s="21"/>
      <c r="C13" s="23">
        <f>'Sch A6-TOU Cust Fcst '!$B13*'Non-Residential TSM UC Adj'!S14</f>
        <v>0</v>
      </c>
      <c r="D13" s="23">
        <f>'Sch A6-TOU Cust Fcst '!$B13*'Non-Residential TSM UC Adj'!T14</f>
        <v>0</v>
      </c>
      <c r="E13" s="41">
        <f>IF(SUM(C13:D13)=0,0,SUM(C13:D13)/'Sch A6-TOU Cust Fcst '!B13)</f>
        <v>0</v>
      </c>
      <c r="F13" s="21"/>
      <c r="G13" s="57">
        <f>'Sch A6-TOU Cust Fcst '!$C13*'Non-Residential TSM UC Adj'!W14</f>
        <v>0</v>
      </c>
      <c r="H13" s="57">
        <f>'Sch A6-TOU Cust Fcst '!$C13*'Non-Residential TSM UC Adj'!X14</f>
        <v>0</v>
      </c>
      <c r="I13" s="23">
        <f>IF(SUM(G13:H13)=0,0,SUM(G13:H13)/'Sch A6-TOU Cust Fcst '!C13)</f>
        <v>0</v>
      </c>
      <c r="J13" s="11"/>
      <c r="K13" s="25">
        <f t="shared" si="0"/>
        <v>0</v>
      </c>
      <c r="L13" s="25">
        <f t="shared" si="1"/>
        <v>0</v>
      </c>
      <c r="M13" s="41">
        <f>IF(SUM(K13:L13)=0,0,SUM(K13:L13)/'Sch A6-TOU Cust Fcst '!D13)</f>
        <v>0</v>
      </c>
    </row>
    <row r="14" spans="1:13">
      <c r="A14" s="21" t="s">
        <v>11</v>
      </c>
      <c r="B14" s="21"/>
      <c r="C14" s="23">
        <f>'Sch A6-TOU Cust Fcst '!$B14*'Non-Residential TSM UC Adj'!S15</f>
        <v>0</v>
      </c>
      <c r="D14" s="23">
        <f>'Sch A6-TOU Cust Fcst '!$B14*'Non-Residential TSM UC Adj'!T15</f>
        <v>0</v>
      </c>
      <c r="E14" s="41">
        <f>IF(SUM(C14:D14)=0,0,SUM(C14:D14)/'Sch A6-TOU Cust Fcst '!B14)</f>
        <v>0</v>
      </c>
      <c r="F14" s="21"/>
      <c r="G14" s="57">
        <f>'Sch A6-TOU Cust Fcst '!$C14*'Non-Residential TSM UC Adj'!W15</f>
        <v>0</v>
      </c>
      <c r="H14" s="57">
        <f>'Sch A6-TOU Cust Fcst '!$C14*'Non-Residential TSM UC Adj'!X15</f>
        <v>0</v>
      </c>
      <c r="I14" s="23">
        <f>IF(SUM(G14:H14)=0,0,SUM(G14:H14)/'Sch A6-TOU Cust Fcst '!C14)</f>
        <v>0</v>
      </c>
      <c r="J14" s="11"/>
      <c r="K14" s="25">
        <f t="shared" si="0"/>
        <v>0</v>
      </c>
      <c r="L14" s="25">
        <f t="shared" si="1"/>
        <v>0</v>
      </c>
      <c r="M14" s="41">
        <f>IF(SUM(K14:L14)=0,0,SUM(K14:L14)/'Sch A6-TOU Cust Fcst '!D14)</f>
        <v>0</v>
      </c>
    </row>
    <row r="15" spans="1:13">
      <c r="A15" s="21" t="s">
        <v>106</v>
      </c>
      <c r="B15" s="21"/>
      <c r="C15" s="23">
        <f>'Sch A6-TOU Cust Fcst '!$B15*'Non-Residential TSM UC Adj'!S16</f>
        <v>0</v>
      </c>
      <c r="D15" s="23">
        <f>'Sch A6-TOU Cust Fcst '!$B15*'Non-Residential TSM UC Adj'!T16</f>
        <v>0</v>
      </c>
      <c r="E15" s="41">
        <f>IF(SUM(C15:D15)=0,0,SUM(C15:D15)/'Sch A6-TOU Cust Fcst '!B15)</f>
        <v>0</v>
      </c>
      <c r="F15" s="21"/>
      <c r="G15" s="57">
        <f>'Sch A6-TOU Cust Fcst '!$C15*'Non-Residential TSM UC Adj'!W16</f>
        <v>0</v>
      </c>
      <c r="H15" s="57">
        <f>'Sch A6-TOU Cust Fcst '!$C15*'Non-Residential TSM UC Adj'!X16</f>
        <v>0</v>
      </c>
      <c r="I15" s="23">
        <f>IF(SUM(G15:H15)=0,0,SUM(G15:H15)/'Sch A6-TOU Cust Fcst '!C15)</f>
        <v>0</v>
      </c>
      <c r="J15" s="11"/>
      <c r="K15" s="25">
        <f t="shared" si="0"/>
        <v>0</v>
      </c>
      <c r="L15" s="25">
        <f t="shared" si="1"/>
        <v>0</v>
      </c>
      <c r="M15" s="41">
        <f>IF(SUM(K15:L15)=0,0,SUM(K15:L15)/'Sch A6-TOU Cust Fcst '!D15)</f>
        <v>0</v>
      </c>
    </row>
    <row r="16" spans="1:13">
      <c r="A16" s="21" t="s">
        <v>107</v>
      </c>
      <c r="B16" s="21"/>
      <c r="C16" s="23">
        <f>'Sch A6-TOU Cust Fcst '!$B16*'Non-Residential TSM UC Adj'!S17</f>
        <v>0</v>
      </c>
      <c r="D16" s="23">
        <f>'Sch A6-TOU Cust Fcst '!$B16*'Non-Residential TSM UC Adj'!T17</f>
        <v>0</v>
      </c>
      <c r="E16" s="41">
        <f>IF(SUM(C16:D16)=0,0,SUM(C16:D16)/'Sch A6-TOU Cust Fcst '!B16)</f>
        <v>0</v>
      </c>
      <c r="F16" s="21"/>
      <c r="G16" s="57">
        <f>'Sch A6-TOU Cust Fcst '!$C16*'Non-Residential TSM UC Adj'!W17</f>
        <v>0</v>
      </c>
      <c r="H16" s="57">
        <f>'Sch A6-TOU Cust Fcst '!$C16*'Non-Residential TSM UC Adj'!X17</f>
        <v>0</v>
      </c>
      <c r="I16" s="23">
        <f>IF(SUM(G16:H16)=0,0,SUM(G16:H16)/'Sch A6-TOU Cust Fcst '!C16)</f>
        <v>0</v>
      </c>
      <c r="J16" s="11"/>
      <c r="K16" s="25">
        <f t="shared" si="0"/>
        <v>0</v>
      </c>
      <c r="L16" s="25">
        <f t="shared" si="1"/>
        <v>0</v>
      </c>
      <c r="M16" s="41">
        <f>IF(SUM(K16:L16)=0,0,SUM(K16:L16)/'Sch A6-TOU Cust Fcst '!D16)</f>
        <v>0</v>
      </c>
    </row>
    <row r="17" spans="1:13">
      <c r="A17" s="21" t="s">
        <v>12</v>
      </c>
      <c r="B17" s="21"/>
      <c r="C17" s="23">
        <f>'Sch A6-TOU Cust Fcst '!$B17*'Non-Residential TSM UC Adj'!S18</f>
        <v>0</v>
      </c>
      <c r="D17" s="23">
        <f>'Sch A6-TOU Cust Fcst '!$B17*'Non-Residential TSM UC Adj'!T18</f>
        <v>0</v>
      </c>
      <c r="E17" s="41">
        <f>IF(SUM(C17:D17)=0,0,SUM(C17:D17)/'Sch A6-TOU Cust Fcst '!B17)</f>
        <v>0</v>
      </c>
      <c r="F17" s="21"/>
      <c r="G17" s="57">
        <f>'Sch A6-TOU Cust Fcst '!$C17*'Non-Residential TSM UC Adj'!W18</f>
        <v>0</v>
      </c>
      <c r="H17" s="57">
        <f>'Sch A6-TOU Cust Fcst '!$C17*'Non-Residential TSM UC Adj'!X18</f>
        <v>0</v>
      </c>
      <c r="I17" s="23">
        <f>IF(SUM(G17:H17)=0,0,SUM(G17:H17)/'Sch A6-TOU Cust Fcst '!C17)</f>
        <v>0</v>
      </c>
      <c r="J17" s="11"/>
      <c r="K17" s="25"/>
      <c r="L17" s="25"/>
      <c r="M17" s="41">
        <f>IF(SUM(K17:L17)=0,0,SUM(K17:L17)/'Sch A6-TOU Cust Fcst '!D17)</f>
        <v>0</v>
      </c>
    </row>
    <row r="18" spans="1:13">
      <c r="A18" s="21" t="s">
        <v>13</v>
      </c>
      <c r="B18" s="21"/>
      <c r="C18" s="23">
        <f>'Sch A6-TOU Cust Fcst '!$B18*'Non-Residential TSM UC Adj'!S19</f>
        <v>0</v>
      </c>
      <c r="D18" s="23">
        <f>'Sch A6-TOU Cust Fcst '!$B18*'Non-Residential TSM UC Adj'!T19</f>
        <v>0</v>
      </c>
      <c r="E18" s="41">
        <f>IF(SUM(C18:D18)=0,0,SUM(C18:D18)/'Sch A6-TOU Cust Fcst '!B18)</f>
        <v>0</v>
      </c>
      <c r="F18" s="21"/>
      <c r="G18" s="57">
        <f>'Sch A6-TOU Cust Fcst '!$C18*'Non-Residential TSM UC Adj'!W19</f>
        <v>0</v>
      </c>
      <c r="H18" s="57">
        <f>'Sch A6-TOU Cust Fcst '!$C18*'Non-Residential TSM UC Adj'!X19</f>
        <v>0</v>
      </c>
      <c r="I18" s="23">
        <f>IF(SUM(G18:H18)=0,0,SUM(G18:H18)/'Sch A6-TOU Cust Fcst '!C18)</f>
        <v>0</v>
      </c>
      <c r="J18" s="11"/>
      <c r="K18" s="25">
        <f t="shared" ref="K18:K36" si="2">C18+G18</f>
        <v>0</v>
      </c>
      <c r="L18" s="25">
        <f t="shared" ref="L18:L36" si="3">D18+H18</f>
        <v>0</v>
      </c>
      <c r="M18" s="41">
        <f>IF(SUM(K18:L18)=0,0,SUM(K18:L18)/'Sch A6-TOU Cust Fcst '!D18)</f>
        <v>0</v>
      </c>
    </row>
    <row r="19" spans="1:13">
      <c r="A19" s="21" t="s">
        <v>108</v>
      </c>
      <c r="B19" s="21"/>
      <c r="C19" s="23">
        <f>'Sch A6-TOU Cust Fcst '!$B19*'Non-Residential TSM UC Adj'!S20</f>
        <v>0</v>
      </c>
      <c r="D19" s="23">
        <f>'Sch A6-TOU Cust Fcst '!$B19*'Non-Residential TSM UC Adj'!T20</f>
        <v>0</v>
      </c>
      <c r="E19" s="41">
        <f>IF(SUM(C19:D19)=0,0,SUM(C19:D19)/'Sch A6-TOU Cust Fcst '!B19)</f>
        <v>0</v>
      </c>
      <c r="F19" s="21"/>
      <c r="G19" s="57">
        <f>'Sch A6-TOU Cust Fcst '!$C19*'Non-Residential TSM UC Adj'!W20</f>
        <v>0</v>
      </c>
      <c r="H19" s="57">
        <f>'Sch A6-TOU Cust Fcst '!$C19*'Non-Residential TSM UC Adj'!X20</f>
        <v>0</v>
      </c>
      <c r="I19" s="23">
        <f>IF(SUM(G19:H19)=0,0,SUM(G19:H19)/'Sch A6-TOU Cust Fcst '!C19)</f>
        <v>0</v>
      </c>
      <c r="J19" s="11"/>
      <c r="K19" s="25">
        <f t="shared" si="2"/>
        <v>0</v>
      </c>
      <c r="L19" s="25">
        <f t="shared" si="3"/>
        <v>0</v>
      </c>
      <c r="M19" s="41">
        <f>IF(SUM(K19:L19)=0,0,SUM(K19:L19)/'Sch A6-TOU Cust Fcst '!D19)</f>
        <v>0</v>
      </c>
    </row>
    <row r="20" spans="1:13">
      <c r="A20" s="21" t="s">
        <v>109</v>
      </c>
      <c r="B20" s="21"/>
      <c r="C20" s="23">
        <f>'Sch A6-TOU Cust Fcst '!$B20*'Non-Residential TSM UC Adj'!S21</f>
        <v>0</v>
      </c>
      <c r="D20" s="23">
        <f>'Sch A6-TOU Cust Fcst '!$B20*'Non-Residential TSM UC Adj'!T21</f>
        <v>0</v>
      </c>
      <c r="E20" s="41">
        <f>IF(SUM(C20:D20)=0,0,SUM(C20:D20)/'Sch A6-TOU Cust Fcst '!B20)</f>
        <v>0</v>
      </c>
      <c r="F20" s="21"/>
      <c r="G20" s="57">
        <f>'Sch A6-TOU Cust Fcst '!$C20*'Non-Residential TSM UC Adj'!W21</f>
        <v>0</v>
      </c>
      <c r="H20" s="57">
        <f>'Sch A6-TOU Cust Fcst '!$C20*'Non-Residential TSM UC Adj'!X21</f>
        <v>0</v>
      </c>
      <c r="I20" s="23">
        <f>IF(SUM(G20:H20)=0,0,SUM(G20:H20)/'Sch A6-TOU Cust Fcst '!C20)</f>
        <v>0</v>
      </c>
      <c r="J20" s="11"/>
      <c r="K20" s="25">
        <f t="shared" si="2"/>
        <v>0</v>
      </c>
      <c r="L20" s="25">
        <f t="shared" si="3"/>
        <v>0</v>
      </c>
      <c r="M20" s="41">
        <f>IF(SUM(K20:L20)=0,0,SUM(K20:L20)/'Sch A6-TOU Cust Fcst '!D20)</f>
        <v>0</v>
      </c>
    </row>
    <row r="21" spans="1:13">
      <c r="A21" s="21" t="s">
        <v>14</v>
      </c>
      <c r="B21" s="21"/>
      <c r="C21" s="23">
        <f>'Sch A6-TOU Cust Fcst '!$B21*'Non-Residential TSM UC Adj'!S22</f>
        <v>0</v>
      </c>
      <c r="D21" s="23">
        <f>'Sch A6-TOU Cust Fcst '!$B21*'Non-Residential TSM UC Adj'!T22</f>
        <v>0</v>
      </c>
      <c r="E21" s="41">
        <f>IF(SUM(C21:D21)=0,0,SUM(C21:D21)/'Sch A6-TOU Cust Fcst '!B21)</f>
        <v>0</v>
      </c>
      <c r="F21" s="21"/>
      <c r="G21" s="57">
        <f>'Sch A6-TOU Cust Fcst '!$C21*'Non-Residential TSM UC Adj'!W22</f>
        <v>0</v>
      </c>
      <c r="H21" s="57">
        <f>'Sch A6-TOU Cust Fcst '!$C21*'Non-Residential TSM UC Adj'!X22</f>
        <v>0</v>
      </c>
      <c r="I21" s="23">
        <f>IF(SUM(G21:H21)=0,0,SUM(G21:H21)/'Sch A6-TOU Cust Fcst '!C21)</f>
        <v>0</v>
      </c>
      <c r="J21" s="11"/>
      <c r="K21" s="25">
        <f t="shared" si="2"/>
        <v>0</v>
      </c>
      <c r="L21" s="25">
        <f t="shared" si="3"/>
        <v>0</v>
      </c>
      <c r="M21" s="41">
        <f>IF(SUM(K21:L21)=0,0,SUM(K21:L21)/'Sch A6-TOU Cust Fcst '!D21)</f>
        <v>0</v>
      </c>
    </row>
    <row r="22" spans="1:13">
      <c r="A22" s="21" t="s">
        <v>15</v>
      </c>
      <c r="B22" s="21"/>
      <c r="C22" s="23">
        <f>'Sch A6-TOU Cust Fcst '!$B22*'Non-Residential TSM UC Adj'!S23</f>
        <v>0</v>
      </c>
      <c r="D22" s="23">
        <f>'Sch A6-TOU Cust Fcst '!$B22*'Non-Residential TSM UC Adj'!T23</f>
        <v>0</v>
      </c>
      <c r="E22" s="41">
        <f>IF(SUM(C22:D22)=0,0,SUM(C22:D22)/'Sch A6-TOU Cust Fcst '!B22)</f>
        <v>0</v>
      </c>
      <c r="F22" s="21"/>
      <c r="G22" s="57">
        <f>'Sch A6-TOU Cust Fcst '!$C22*'Non-Residential TSM UC Adj'!W23</f>
        <v>0</v>
      </c>
      <c r="H22" s="57">
        <f>'Sch A6-TOU Cust Fcst '!$C22*'Non-Residential TSM UC Adj'!X23</f>
        <v>0</v>
      </c>
      <c r="I22" s="23">
        <f>IF(SUM(G22:H22)=0,0,SUM(G22:H22)/'Sch A6-TOU Cust Fcst '!C22)</f>
        <v>0</v>
      </c>
      <c r="J22" s="11"/>
      <c r="K22" s="25">
        <f t="shared" si="2"/>
        <v>0</v>
      </c>
      <c r="L22" s="25">
        <f t="shared" si="3"/>
        <v>0</v>
      </c>
      <c r="M22" s="41">
        <f>IF(SUM(K22:L22)=0,0,SUM(K22:L22)/'Sch A6-TOU Cust Fcst '!D22)</f>
        <v>0</v>
      </c>
    </row>
    <row r="23" spans="1:13">
      <c r="A23" s="21" t="s">
        <v>16</v>
      </c>
      <c r="B23" s="21"/>
      <c r="C23" s="23">
        <f>'Sch A6-TOU Cust Fcst '!$B23*'Non-Residential TSM UC Adj'!S24</f>
        <v>0</v>
      </c>
      <c r="D23" s="23">
        <f>'Sch A6-TOU Cust Fcst '!$B23*'Non-Residential TSM UC Adj'!T24</f>
        <v>0</v>
      </c>
      <c r="E23" s="41">
        <f>IF(SUM(C23:D23)=0,0,SUM(C23:D23)/'Sch A6-TOU Cust Fcst '!B23)</f>
        <v>0</v>
      </c>
      <c r="F23" s="21"/>
      <c r="G23" s="57">
        <f>'Sch A6-TOU Cust Fcst '!$C23*'Non-Residential TSM UC Adj'!W24</f>
        <v>0</v>
      </c>
      <c r="H23" s="57">
        <f>'Sch A6-TOU Cust Fcst '!$C23*'Non-Residential TSM UC Adj'!X24</f>
        <v>0</v>
      </c>
      <c r="I23" s="23">
        <f>IF(SUM(G23:H23)=0,0,SUM(G23:H23)/'Sch A6-TOU Cust Fcst '!C23)</f>
        <v>0</v>
      </c>
      <c r="J23" s="11"/>
      <c r="K23" s="25">
        <f t="shared" si="2"/>
        <v>0</v>
      </c>
      <c r="L23" s="25">
        <f t="shared" si="3"/>
        <v>0</v>
      </c>
      <c r="M23" s="41">
        <f>IF(SUM(K23:L23)=0,0,SUM(K23:L23)/'Sch A6-TOU Cust Fcst '!D23)</f>
        <v>0</v>
      </c>
    </row>
    <row r="24" spans="1:13">
      <c r="A24" s="21" t="s">
        <v>17</v>
      </c>
      <c r="B24" s="21"/>
      <c r="C24" s="23">
        <f>'Sch A6-TOU Cust Fcst '!$B24*'Non-Residential TSM UC Adj'!S25</f>
        <v>3129.9273129422195</v>
      </c>
      <c r="D24" s="23">
        <f>'Sch A6-TOU Cust Fcst '!$B24*'Non-Residential TSM UC Adj'!T25</f>
        <v>956.79196332763956</v>
      </c>
      <c r="E24" s="41">
        <f>IF(SUM(C24:D24)=0,0,SUM(C24:D24)/'Sch A6-TOU Cust Fcst '!B24)</f>
        <v>4086.7192762698592</v>
      </c>
      <c r="F24" s="21"/>
      <c r="G24" s="57">
        <f>'Sch A6-TOU Cust Fcst '!$C24*'Non-Residential TSM UC Adj'!W25</f>
        <v>0</v>
      </c>
      <c r="H24" s="57">
        <f>'Sch A6-TOU Cust Fcst '!$C24*'Non-Residential TSM UC Adj'!X25</f>
        <v>0</v>
      </c>
      <c r="I24" s="23">
        <f>IF(SUM(G24:H24)=0,0,SUM(G24:H24)/'Sch A6-TOU Cust Fcst '!C24)</f>
        <v>0</v>
      </c>
      <c r="J24" s="11"/>
      <c r="K24" s="25">
        <f t="shared" si="2"/>
        <v>3129.9273129422195</v>
      </c>
      <c r="L24" s="25">
        <f t="shared" si="3"/>
        <v>956.79196332763956</v>
      </c>
      <c r="M24" s="41">
        <f>IF(SUM(K24:L24)=0,0,SUM(K24:L24)/'Sch A6-TOU Cust Fcst '!D24)</f>
        <v>4086.7192762698592</v>
      </c>
    </row>
    <row r="25" spans="1:13">
      <c r="A25" s="21" t="s">
        <v>18</v>
      </c>
      <c r="B25" s="21"/>
      <c r="C25" s="23">
        <f>'Sch A6-TOU Cust Fcst '!$B25*'Non-Residential TSM UC Adj'!S26</f>
        <v>0</v>
      </c>
      <c r="D25" s="23">
        <f>'Sch A6-TOU Cust Fcst '!$B25*'Non-Residential TSM UC Adj'!T26</f>
        <v>0</v>
      </c>
      <c r="E25" s="41">
        <f>IF(SUM(C25:D25)=0,0,SUM(C25:D25)/'Sch A6-TOU Cust Fcst '!B25)</f>
        <v>0</v>
      </c>
      <c r="F25" s="21"/>
      <c r="G25" s="57">
        <f>'Sch A6-TOU Cust Fcst '!$C25*'Non-Residential TSM UC Adj'!W26</f>
        <v>0</v>
      </c>
      <c r="H25" s="57">
        <f>'Sch A6-TOU Cust Fcst '!$C25*'Non-Residential TSM UC Adj'!X26</f>
        <v>0</v>
      </c>
      <c r="I25" s="23">
        <f>IF(SUM(G25:H25)=0,0,SUM(G25:H25)/'Sch A6-TOU Cust Fcst '!C25)</f>
        <v>0</v>
      </c>
      <c r="J25" s="11"/>
      <c r="K25" s="25">
        <f t="shared" si="2"/>
        <v>0</v>
      </c>
      <c r="L25" s="25">
        <f t="shared" si="3"/>
        <v>0</v>
      </c>
      <c r="M25" s="41">
        <f>IF(SUM(K25:L25)=0,0,SUM(K25:L25)/'Sch A6-TOU Cust Fcst '!D25)</f>
        <v>0</v>
      </c>
    </row>
    <row r="26" spans="1:13">
      <c r="A26" s="21" t="s">
        <v>19</v>
      </c>
      <c r="B26" s="21"/>
      <c r="C26" s="23">
        <f>'Sch A6-TOU Cust Fcst '!$B26*'Non-Residential TSM UC Adj'!S27</f>
        <v>0</v>
      </c>
      <c r="D26" s="23">
        <f>'Sch A6-TOU Cust Fcst '!$B26*'Non-Residential TSM UC Adj'!T27</f>
        <v>0</v>
      </c>
      <c r="E26" s="41">
        <f>IF(SUM(C26:D26)=0,0,SUM(C26:D26)/'Sch A6-TOU Cust Fcst '!B26)</f>
        <v>0</v>
      </c>
      <c r="F26" s="21"/>
      <c r="G26" s="57">
        <f>'Sch A6-TOU Cust Fcst '!$C26*'Non-Residential TSM UC Adj'!W27</f>
        <v>0</v>
      </c>
      <c r="H26" s="57">
        <f>'Sch A6-TOU Cust Fcst '!$C26*'Non-Residential TSM UC Adj'!X27</f>
        <v>0</v>
      </c>
      <c r="I26" s="23">
        <f>IF(SUM(G26:H26)=0,0,SUM(G26:H26)/'Sch A6-TOU Cust Fcst '!C26)</f>
        <v>0</v>
      </c>
      <c r="J26" s="11"/>
      <c r="K26" s="25">
        <f t="shared" si="2"/>
        <v>0</v>
      </c>
      <c r="L26" s="25">
        <f t="shared" si="3"/>
        <v>0</v>
      </c>
      <c r="M26" s="41">
        <f>IF(SUM(K26:L26)=0,0,SUM(K26:L26)/'Sch A6-TOU Cust Fcst '!D26)</f>
        <v>0</v>
      </c>
    </row>
    <row r="27" spans="1:13">
      <c r="A27" s="21" t="s">
        <v>20</v>
      </c>
      <c r="B27" s="21"/>
      <c r="C27" s="23">
        <f>'Sch A6-TOU Cust Fcst '!$B27*'Non-Residential TSM UC Adj'!S28</f>
        <v>0</v>
      </c>
      <c r="D27" s="23">
        <f>'Sch A6-TOU Cust Fcst '!$B27*'Non-Residential TSM UC Adj'!T28</f>
        <v>0</v>
      </c>
      <c r="E27" s="41">
        <f>IF(SUM(C27:D27)=0,0,SUM(C27:D27)/'Sch A6-TOU Cust Fcst '!B27)</f>
        <v>0</v>
      </c>
      <c r="F27" s="21"/>
      <c r="G27" s="57">
        <f>'Sch A6-TOU Cust Fcst '!$C27*'Non-Residential TSM UC Adj'!W28</f>
        <v>0</v>
      </c>
      <c r="H27" s="57">
        <f>'Sch A6-TOU Cust Fcst '!$C27*'Non-Residential TSM UC Adj'!X28</f>
        <v>0</v>
      </c>
      <c r="I27" s="23">
        <f>IF(SUM(G27:H27)=0,0,SUM(G27:H27)/'Sch A6-TOU Cust Fcst '!C27)</f>
        <v>0</v>
      </c>
      <c r="J27" s="11"/>
      <c r="K27" s="25">
        <f t="shared" si="2"/>
        <v>0</v>
      </c>
      <c r="L27" s="25">
        <f t="shared" si="3"/>
        <v>0</v>
      </c>
      <c r="M27" s="41">
        <f>IF(SUM(K27:L27)=0,0,SUM(K27:L27)/'Sch A6-TOU Cust Fcst '!D27)</f>
        <v>0</v>
      </c>
    </row>
    <row r="28" spans="1:13">
      <c r="A28" s="21" t="s">
        <v>21</v>
      </c>
      <c r="B28" s="21"/>
      <c r="C28" s="23">
        <f>'Sch A6-TOU Cust Fcst '!$B28*'Non-Residential TSM UC Adj'!S29</f>
        <v>0</v>
      </c>
      <c r="D28" s="23">
        <f>'Sch A6-TOU Cust Fcst '!$B28*'Non-Residential TSM UC Adj'!T29</f>
        <v>0</v>
      </c>
      <c r="E28" s="41">
        <f>IF(SUM(C28:D28)=0,0,SUM(C28:D28)/'Sch A6-TOU Cust Fcst '!B28)</f>
        <v>0</v>
      </c>
      <c r="F28" s="21"/>
      <c r="G28" s="57">
        <f>'Sch A6-TOU Cust Fcst '!$C28*'Non-Residential TSM UC Adj'!W29</f>
        <v>0</v>
      </c>
      <c r="H28" s="57">
        <f>'Sch A6-TOU Cust Fcst '!$C28*'Non-Residential TSM UC Adj'!X29</f>
        <v>0</v>
      </c>
      <c r="I28" s="23">
        <f>IF(SUM(G28:H28)=0,0,SUM(G28:H28)/'Sch A6-TOU Cust Fcst '!C28)</f>
        <v>0</v>
      </c>
      <c r="J28" s="11"/>
      <c r="K28" s="25">
        <f t="shared" si="2"/>
        <v>0</v>
      </c>
      <c r="L28" s="25">
        <f t="shared" si="3"/>
        <v>0</v>
      </c>
      <c r="M28" s="41">
        <f>IF(SUM(K28:L28)=0,0,SUM(K28:L28)/'Sch A6-TOU Cust Fcst '!D28)</f>
        <v>0</v>
      </c>
    </row>
    <row r="29" spans="1:13">
      <c r="A29" s="21" t="s">
        <v>22</v>
      </c>
      <c r="B29" s="21"/>
      <c r="C29" s="23">
        <f>'Sch A6-TOU Cust Fcst '!$B29*'Non-Residential TSM UC Adj'!S30</f>
        <v>0</v>
      </c>
      <c r="D29" s="23">
        <f>'Sch A6-TOU Cust Fcst '!$B29*'Non-Residential TSM UC Adj'!T30</f>
        <v>0</v>
      </c>
      <c r="E29" s="41">
        <f>IF(SUM(C29:D29)=0,0,SUM(C29:D29)/'Sch A6-TOU Cust Fcst '!B29)</f>
        <v>0</v>
      </c>
      <c r="F29" s="21"/>
      <c r="G29" s="57">
        <f>'Sch A6-TOU Cust Fcst '!$C29*'Non-Residential TSM UC Adj'!W30</f>
        <v>0</v>
      </c>
      <c r="H29" s="57">
        <f>'Sch A6-TOU Cust Fcst '!$C29*'Non-Residential TSM UC Adj'!X30</f>
        <v>0</v>
      </c>
      <c r="I29" s="23">
        <f>IF(SUM(G29:H29)=0,0,SUM(G29:H29)/'Sch A6-TOU Cust Fcst '!C29)</f>
        <v>0</v>
      </c>
      <c r="J29" s="11"/>
      <c r="K29" s="25">
        <f t="shared" si="2"/>
        <v>0</v>
      </c>
      <c r="L29" s="25">
        <f t="shared" si="3"/>
        <v>0</v>
      </c>
      <c r="M29" s="41">
        <f>IF(SUM(K29:L29)=0,0,SUM(K29:L29)/'Sch A6-TOU Cust Fcst '!D29)</f>
        <v>0</v>
      </c>
    </row>
    <row r="30" spans="1:13">
      <c r="A30" s="21" t="s">
        <v>23</v>
      </c>
      <c r="B30" s="21"/>
      <c r="C30" s="23">
        <f>'Sch A6-TOU Cust Fcst '!$B30*'Non-Residential TSM UC Adj'!S31</f>
        <v>0</v>
      </c>
      <c r="D30" s="23">
        <f>'Sch A6-TOU Cust Fcst '!$B30*'Non-Residential TSM UC Adj'!T31</f>
        <v>0</v>
      </c>
      <c r="E30" s="41">
        <f>IF(SUM(C30:D30)=0,0,SUM(C30:D30)/'Sch A6-TOU Cust Fcst '!B30)</f>
        <v>0</v>
      </c>
      <c r="F30" s="21"/>
      <c r="G30" s="57">
        <f>'Sch A6-TOU Cust Fcst '!$C30*'Non-Residential TSM UC Adj'!W31</f>
        <v>0</v>
      </c>
      <c r="H30" s="57">
        <f>'Sch A6-TOU Cust Fcst '!$C30*'Non-Residential TSM UC Adj'!X31</f>
        <v>0</v>
      </c>
      <c r="I30" s="23">
        <f>IF(SUM(G30:H30)=0,0,SUM(G30:H30)/'Sch A6-TOU Cust Fcst '!C30)</f>
        <v>0</v>
      </c>
      <c r="J30" s="11"/>
      <c r="K30" s="25">
        <f t="shared" si="2"/>
        <v>0</v>
      </c>
      <c r="L30" s="25">
        <f t="shared" si="3"/>
        <v>0</v>
      </c>
      <c r="M30" s="41">
        <f>IF(SUM(K30:L30)=0,0,SUM(K30:L30)/'Sch A6-TOU Cust Fcst '!D30)</f>
        <v>0</v>
      </c>
    </row>
    <row r="31" spans="1:13">
      <c r="A31" s="21" t="s">
        <v>24</v>
      </c>
      <c r="B31" s="21"/>
      <c r="C31" s="23">
        <f>'Sch A6-TOU Cust Fcst '!$B31*'Non-Residential TSM UC Adj'!S32</f>
        <v>0</v>
      </c>
      <c r="D31" s="23">
        <f>'Sch A6-TOU Cust Fcst '!$B31*'Non-Residential TSM UC Adj'!T32</f>
        <v>0</v>
      </c>
      <c r="E31" s="41">
        <f>IF(SUM(C31:D31)=0,0,SUM(C31:D31)/'Sch A6-TOU Cust Fcst '!B31)</f>
        <v>0</v>
      </c>
      <c r="F31" s="21"/>
      <c r="G31" s="57">
        <f>'Sch A6-TOU Cust Fcst '!$C31*'Non-Residential TSM UC Adj'!W32</f>
        <v>0</v>
      </c>
      <c r="H31" s="57">
        <f>'Sch A6-TOU Cust Fcst '!$C31*'Non-Residential TSM UC Adj'!X32</f>
        <v>0</v>
      </c>
      <c r="I31" s="23">
        <f>IF(SUM(G31:H31)=0,0,SUM(G31:H31)/'Sch A6-TOU Cust Fcst '!C31)</f>
        <v>0</v>
      </c>
      <c r="J31" s="11"/>
      <c r="K31" s="25">
        <f t="shared" si="2"/>
        <v>0</v>
      </c>
      <c r="L31" s="25">
        <f t="shared" si="3"/>
        <v>0</v>
      </c>
      <c r="M31" s="41">
        <f>IF(SUM(K31:L31)=0,0,SUM(K31:L31)/'Sch A6-TOU Cust Fcst '!D31)</f>
        <v>0</v>
      </c>
    </row>
    <row r="32" spans="1:13">
      <c r="A32" s="21" t="s">
        <v>25</v>
      </c>
      <c r="B32" s="21"/>
      <c r="C32" s="23">
        <f>'Sch A6-TOU Cust Fcst '!$B32*'Non-Residential TSM UC Adj'!S33</f>
        <v>0</v>
      </c>
      <c r="D32" s="23">
        <f>'Sch A6-TOU Cust Fcst '!$B32*'Non-Residential TSM UC Adj'!T33</f>
        <v>0</v>
      </c>
      <c r="E32" s="41">
        <f>IF(SUM(C32:D32)=0,0,SUM(C32:D32)/'Sch A6-TOU Cust Fcst '!B32)</f>
        <v>0</v>
      </c>
      <c r="F32" s="21"/>
      <c r="G32" s="57">
        <f>'Sch A6-TOU Cust Fcst '!$C32*'Non-Residential TSM UC Adj'!W33</f>
        <v>0</v>
      </c>
      <c r="H32" s="57">
        <f>'Sch A6-TOU Cust Fcst '!$C32*'Non-Residential TSM UC Adj'!X33</f>
        <v>0</v>
      </c>
      <c r="I32" s="23">
        <f>IF(SUM(G32:H32)=0,0,SUM(G32:H32)/'Sch A6-TOU Cust Fcst '!C32)</f>
        <v>0</v>
      </c>
      <c r="J32" s="11"/>
      <c r="K32" s="25">
        <f t="shared" si="2"/>
        <v>0</v>
      </c>
      <c r="L32" s="25">
        <f t="shared" si="3"/>
        <v>0</v>
      </c>
      <c r="M32" s="41">
        <f>IF(SUM(K32:L32)=0,0,SUM(K32:L32)/'Sch A6-TOU Cust Fcst '!D32)</f>
        <v>0</v>
      </c>
    </row>
    <row r="33" spans="1:14">
      <c r="A33" s="22" t="s">
        <v>111</v>
      </c>
      <c r="B33" s="22"/>
      <c r="C33" s="23">
        <f>'Sch A6-TOU Cust Fcst '!$B33*'Non-Residential TSM UC Adj'!S34</f>
        <v>0</v>
      </c>
      <c r="D33" s="23">
        <f>'Sch A6-TOU Cust Fcst '!$B33*'Non-Residential TSM UC Adj'!T34</f>
        <v>0</v>
      </c>
      <c r="E33" s="41">
        <f>IF(SUM(C33:D33)=0,0,SUM(C33:D33)/'Sch A6-TOU Cust Fcst '!B33)</f>
        <v>0</v>
      </c>
      <c r="F33" s="22"/>
      <c r="G33" s="57">
        <f>'Sch A6-TOU Cust Fcst '!$C33*'Non-Residential TSM UC Adj'!W34</f>
        <v>0</v>
      </c>
      <c r="H33" s="57">
        <f>'Sch A6-TOU Cust Fcst '!$C33*'Non-Residential TSM UC Adj'!X34</f>
        <v>0</v>
      </c>
      <c r="I33" s="23">
        <f>IF(SUM(G33:H33)=0,0,SUM(G33:H33)/'Sch A6-TOU Cust Fcst '!C33)</f>
        <v>0</v>
      </c>
      <c r="J33" s="11"/>
      <c r="K33" s="25">
        <f t="shared" si="2"/>
        <v>0</v>
      </c>
      <c r="L33" s="25">
        <f t="shared" si="3"/>
        <v>0</v>
      </c>
      <c r="M33" s="41">
        <f>IF(SUM(K33:L33)=0,0,SUM(K33:L33)/'Sch A6-TOU Cust Fcst '!D33)</f>
        <v>0</v>
      </c>
    </row>
    <row r="34" spans="1:14">
      <c r="A34" s="21" t="s">
        <v>112</v>
      </c>
      <c r="B34" s="21"/>
      <c r="C34" s="23">
        <f>'Sch A6-TOU Cust Fcst '!$B34*'Non-Residential TSM UC Adj'!S35</f>
        <v>0</v>
      </c>
      <c r="D34" s="23">
        <f>'Sch A6-TOU Cust Fcst '!$B34*'Non-Residential TSM UC Adj'!T35</f>
        <v>0</v>
      </c>
      <c r="E34" s="41">
        <f>IF(SUM(C34:D34)=0,0,SUM(C34:D34)/'Sch A6-TOU Cust Fcst '!B34)</f>
        <v>0</v>
      </c>
      <c r="F34" s="21"/>
      <c r="G34" s="57">
        <f>'Sch A6-TOU Cust Fcst '!$C34*'Non-Residential TSM UC Adj'!W35</f>
        <v>0</v>
      </c>
      <c r="H34" s="57">
        <f>'Sch A6-TOU Cust Fcst '!$C34*'Non-Residential TSM UC Adj'!X35</f>
        <v>0</v>
      </c>
      <c r="I34" s="23">
        <f>IF(SUM(G34:H34)=0,0,SUM(G34:H34)/'Sch A6-TOU Cust Fcst '!C34)</f>
        <v>0</v>
      </c>
      <c r="J34" s="11"/>
      <c r="K34" s="25">
        <f t="shared" si="2"/>
        <v>0</v>
      </c>
      <c r="L34" s="25">
        <f t="shared" si="3"/>
        <v>0</v>
      </c>
      <c r="M34" s="41">
        <f>IF(SUM(K34:L34)=0,0,SUM(K34:L34)/'Sch A6-TOU Cust Fcst '!D34)</f>
        <v>0</v>
      </c>
    </row>
    <row r="35" spans="1:14">
      <c r="A35" s="21" t="s">
        <v>26</v>
      </c>
      <c r="B35" s="21"/>
      <c r="C35" s="23">
        <f>'Sch A6-TOU Cust Fcst '!$B35*'Non-Residential TSM UC Adj'!S36</f>
        <v>0</v>
      </c>
      <c r="D35" s="23">
        <f>'Sch A6-TOU Cust Fcst '!$B35*'Non-Residential TSM UC Adj'!T36</f>
        <v>0</v>
      </c>
      <c r="E35" s="41">
        <f>IF(SUM(C35:D35)=0,0,SUM(C35:D35)/'Sch A6-TOU Cust Fcst '!B35)</f>
        <v>0</v>
      </c>
      <c r="F35" s="21"/>
      <c r="G35" s="57">
        <f>'Sch A6-TOU Cust Fcst '!$C35*'Non-Residential TSM UC Adj'!W36</f>
        <v>0</v>
      </c>
      <c r="H35" s="57">
        <f>'Sch A6-TOU Cust Fcst '!$C35*'Non-Residential TSM UC Adj'!X36</f>
        <v>0</v>
      </c>
      <c r="I35" s="23">
        <f>IF(SUM(G35:H35)=0,0,SUM(G35:H35)/'Sch A6-TOU Cust Fcst '!C35)</f>
        <v>0</v>
      </c>
      <c r="J35" s="11"/>
      <c r="K35" s="25">
        <f t="shared" si="2"/>
        <v>0</v>
      </c>
      <c r="L35" s="25">
        <f t="shared" si="3"/>
        <v>0</v>
      </c>
      <c r="M35" s="41">
        <f>IF(SUM(K35:L35)=0,0,SUM(K35:L35)/'Sch A6-TOU Cust Fcst '!D35)</f>
        <v>0</v>
      </c>
    </row>
    <row r="36" spans="1:14">
      <c r="A36" s="21" t="s">
        <v>27</v>
      </c>
      <c r="B36" s="21"/>
      <c r="C36" s="23">
        <f>'Sch A6-TOU Cust Fcst '!$B36*'Non-Residential TSM UC Adj'!S37</f>
        <v>0</v>
      </c>
      <c r="D36" s="23">
        <f>'Sch A6-TOU Cust Fcst '!$B36*'Non-Residential TSM UC Adj'!T37</f>
        <v>0</v>
      </c>
      <c r="E36" s="41">
        <f>IF(SUM(C36:D36)=0,0,SUM(C36:D36)/'Sch A6-TOU Cust Fcst '!B36)</f>
        <v>0</v>
      </c>
      <c r="F36" s="21"/>
      <c r="G36" s="57">
        <f>'Sch A6-TOU Cust Fcst '!$C36*'Non-Residential TSM UC Adj'!W37</f>
        <v>0</v>
      </c>
      <c r="H36" s="57">
        <f>'Sch A6-TOU Cust Fcst '!$C36*'Non-Residential TSM UC Adj'!X37</f>
        <v>0</v>
      </c>
      <c r="I36" s="23">
        <f>IF(SUM(G36:H36)=0,0,SUM(G36:H36)/'Sch A6-TOU Cust Fcst '!C36)</f>
        <v>0</v>
      </c>
      <c r="J36" s="11"/>
      <c r="K36" s="25">
        <f t="shared" si="2"/>
        <v>0</v>
      </c>
      <c r="L36" s="25">
        <f t="shared" si="3"/>
        <v>0</v>
      </c>
      <c r="M36" s="41">
        <f>IF(SUM(K36:L36)=0,0,SUM(K36:L36)/'Sch A6-TOU Cust Fcst '!D36)</f>
        <v>0</v>
      </c>
    </row>
    <row r="37" spans="1:14" ht="13.5" thickBot="1">
      <c r="A37" s="247"/>
      <c r="B37" s="21"/>
      <c r="C37" s="23"/>
      <c r="D37" s="23"/>
      <c r="E37" s="41"/>
      <c r="F37" s="247"/>
      <c r="G37" s="176"/>
      <c r="H37" s="176"/>
      <c r="I37" s="176"/>
      <c r="J37" s="11"/>
      <c r="K37" s="25"/>
      <c r="L37" s="25"/>
      <c r="M37" s="41"/>
    </row>
    <row r="38" spans="1:14" ht="13.5" thickBot="1">
      <c r="A38" s="211" t="s">
        <v>2</v>
      </c>
      <c r="B38" s="211"/>
      <c r="C38" s="242">
        <f>IF(SUM(C$6:C$36)=0,0,SUM(C$6:C$36)/'Sch A6-TOU Cust Fcst '!$B38)</f>
        <v>3129.9273129422195</v>
      </c>
      <c r="D38" s="242">
        <f>IF(SUM(D$6:D$36)=0,0,SUM(D$6:D$36)/'Sch A6-TOU Cust Fcst '!$B38)</f>
        <v>956.79196332763956</v>
      </c>
      <c r="E38" s="243">
        <f>SUM(C38:D38)</f>
        <v>4086.7192762698592</v>
      </c>
      <c r="F38" s="211"/>
      <c r="G38" s="242">
        <f>IF(SUM(G$6:G$36)=0,0,SUM(G$6:G$36)/'Sch A6-TOU Cust Fcst '!$C38)</f>
        <v>0</v>
      </c>
      <c r="H38" s="242">
        <f>IF(SUM(H$6:H$36)=0,0,SUM(H$6:H$36)/'Sch A6-TOU Cust Fcst '!$C38)</f>
        <v>0</v>
      </c>
      <c r="I38" s="243">
        <f>SUM(G38:H38)</f>
        <v>0</v>
      </c>
      <c r="J38" s="211"/>
      <c r="K38" s="242">
        <f>IF(SUM(K$6:K$36)=0,0,SUM(K$6:K$36)/'Sch A6-TOU Cust Fcst '!$D38)</f>
        <v>3129.9273129422195</v>
      </c>
      <c r="L38" s="242">
        <f>IF(SUM(L$6:L$36)=0,0,SUM(L$6:L$36)/'Sch A6-TOU Cust Fcst '!$D38)</f>
        <v>956.79196332763956</v>
      </c>
      <c r="M38" s="243">
        <f>SUM(K38:L38)</f>
        <v>4086.7192762698592</v>
      </c>
    </row>
    <row r="39" spans="1:14">
      <c r="A39" s="124" t="s">
        <v>149</v>
      </c>
      <c r="B39" s="21"/>
      <c r="C39" s="23">
        <f>IF(SUM(C$6:C$19)=0,0,SUM(C$6:C$19)/'Sch A6-TOU Cust Fcst '!$B39)</f>
        <v>0</v>
      </c>
      <c r="D39" s="23">
        <f>IF(SUM(D$6:D$19)=0,0,SUM(D$6:D$19)/'Sch A6-TOU Cust Fcst '!$B39)</f>
        <v>0</v>
      </c>
      <c r="E39" s="41">
        <f>SUM(C39:D39)</f>
        <v>0</v>
      </c>
      <c r="F39" s="21"/>
      <c r="G39" s="23">
        <f>IF(SUM(G$6:G$19)=0,0,SUM(G$6:G$19)/'Sch A6-TOU Cust Fcst '!$C39)</f>
        <v>0</v>
      </c>
      <c r="H39" s="23">
        <f>IF(SUM(H$6:H$19)=0,0,SUM(H$6:H$19)/'Sch A6-TOU Cust Fcst '!$C39)</f>
        <v>0</v>
      </c>
      <c r="I39" s="41">
        <f>SUM(G39:H39)</f>
        <v>0</v>
      </c>
      <c r="J39" s="21"/>
      <c r="K39" s="23">
        <f>IF(SUM(K$6:K$19)=0,0,SUM(K$6:K$19)/'Sch A6-TOU Cust Fcst '!$D39)</f>
        <v>0</v>
      </c>
      <c r="L39" s="23">
        <f>IF(SUM(L$6:L$19)=0,0,SUM(L$6:L$19)/'Sch A6-TOU Cust Fcst '!$D39)</f>
        <v>0</v>
      </c>
      <c r="M39" s="41">
        <f>SUM(K39:L39)</f>
        <v>0</v>
      </c>
    </row>
    <row r="40" spans="1:14" s="52" customFormat="1">
      <c r="A40" s="124" t="s">
        <v>124</v>
      </c>
      <c r="B40" s="104"/>
      <c r="C40" s="23">
        <f>IF(SUM(C$20:C$33)=0,0,SUM(C$20:C$33)/'Sch A6-TOU Cust Fcst '!$B40)</f>
        <v>3129.9273129422195</v>
      </c>
      <c r="D40" s="23">
        <f>IF(SUM(D$20:D$33)=0,0,SUM(D$20:D$33)/'Sch A6-TOU Cust Fcst '!$B40)</f>
        <v>956.79196332763956</v>
      </c>
      <c r="E40" s="41">
        <f>SUM(C40:D40)</f>
        <v>4086.7192762698592</v>
      </c>
      <c r="F40" s="104"/>
      <c r="G40" s="23">
        <f>IF(SUM(G$20:G$33)=0,0,SUM(G$20:G$33)/'Sch A6-TOU Cust Fcst '!C40)</f>
        <v>0</v>
      </c>
      <c r="H40" s="23">
        <f>IF(SUM(H$20:H$33)=0,0,SUM(H$20:H$33)/'Sch A6-TOU Cust Fcst '!$C40)</f>
        <v>0</v>
      </c>
      <c r="I40" s="41">
        <f>SUM(G40:H40)</f>
        <v>0</v>
      </c>
      <c r="J40" s="104"/>
      <c r="K40" s="23">
        <f>IF(SUM(K$20:K$33)=0,0,SUM(K$20:K$33)/'Sch A6-TOU Cust Fcst '!D40)</f>
        <v>3129.9273129422195</v>
      </c>
      <c r="L40" s="23">
        <f>IF(SUM(L$20:L$33)=0,0,SUM(L$20:L$33)/'Sch A6-TOU Cust Fcst '!$D40)</f>
        <v>956.79196332763956</v>
      </c>
      <c r="M40" s="41">
        <f>SUM(K40:L40)</f>
        <v>4086.7192762698592</v>
      </c>
      <c r="N40" s="51"/>
    </row>
    <row r="41" spans="1:14" s="52" customFormat="1" ht="13.5" thickBot="1">
      <c r="A41" s="245" t="s">
        <v>88</v>
      </c>
      <c r="B41" s="217"/>
      <c r="C41" s="176">
        <f>IF(SUM(C$34:C$36)=0,0,SUM(C$34:C$36)/'Sch A6-TOU Cust Fcst '!$B41)</f>
        <v>0</v>
      </c>
      <c r="D41" s="176">
        <f>IF(SUM(D$34:D$36)=0,0,SUM(D$34:D$36)/'Sch A6-TOU Cust Fcst '!$B41)</f>
        <v>0</v>
      </c>
      <c r="E41" s="185">
        <f>SUM(C41:D41)</f>
        <v>0</v>
      </c>
      <c r="F41" s="217"/>
      <c r="G41" s="176">
        <f>IF(SUM(G$34:G$36)=0,0,SUM(G$34:G$36)/'Sch A6-TOU Cust Fcst '!$C41)</f>
        <v>0</v>
      </c>
      <c r="H41" s="176">
        <f>IF(SUM(H$34:H$36)=0,0,SUM(H$34:H$36)/'Sch A6-TOU Cust Fcst '!$C41)</f>
        <v>0</v>
      </c>
      <c r="I41" s="185">
        <f>SUM(G41:H41)</f>
        <v>0</v>
      </c>
      <c r="J41" s="217"/>
      <c r="K41" s="176">
        <f>IF(SUM(K$34:K$36)=0,0,SUM(K$34:K$36)/'Sch A6-TOU Cust Fcst '!$D41)</f>
        <v>0</v>
      </c>
      <c r="L41" s="176">
        <f>IF(SUM(L$34:L$36)=0,0,SUM(L$34:L$36)/'Sch A6-TOU Cust Fcst '!$D41)</f>
        <v>0</v>
      </c>
      <c r="M41" s="185">
        <f>SUM(K41:L41)</f>
        <v>0</v>
      </c>
    </row>
    <row r="42" spans="1:14">
      <c r="C42" s="18"/>
      <c r="D42" s="18"/>
      <c r="E42" s="18"/>
      <c r="G42" s="18"/>
      <c r="H42" s="18"/>
      <c r="I42" s="18"/>
      <c r="K42" s="18"/>
      <c r="L42" s="18"/>
      <c r="M42" s="18"/>
    </row>
    <row r="43" spans="1:14">
      <c r="A43" s="264" t="s">
        <v>91</v>
      </c>
      <c r="C43" s="18"/>
      <c r="D43" s="18"/>
      <c r="E43" s="298">
        <f>IF(SUM(B6:D36)=0,0,SUM(B6:D36)/'Sch A6-TOU Cust Fcst '!B38)-E38</f>
        <v>0</v>
      </c>
      <c r="G43" s="18"/>
      <c r="H43" s="18"/>
      <c r="I43" s="298">
        <f>IF(SUM(F6:H36)=0,0,SUM(F6:H36)/'Sch A6-TOU Cust Fcst '!C38)-I38</f>
        <v>0</v>
      </c>
      <c r="K43" s="18"/>
      <c r="L43" s="18"/>
      <c r="M43" s="298">
        <f>IF(SUM(J6:L36)=0,0,SUM(J6:L36)/'Sch A6-TOU Cust Fcst '!D38)-M38</f>
        <v>0</v>
      </c>
    </row>
    <row r="44" spans="1:14">
      <c r="E44" s="298">
        <f>IF(SUM(B6:D19)=0,0,SUM(B6:D19)/'Sch A6-TOU Cust Fcst '!B39)-E39</f>
        <v>0</v>
      </c>
      <c r="I44" s="298">
        <f>IF(SUM(F6:H19)=0,0,SUM(F6:H19)/'Sch A6-TOU Cust Fcst '!C39)-I39</f>
        <v>0</v>
      </c>
      <c r="M44" s="298">
        <f>IF(SUM(J6:L19)=0,0,SUM(J6:L19)/'Sch A6-TOU Cust Fcst '!D39)-M39</f>
        <v>0</v>
      </c>
    </row>
    <row r="45" spans="1:14">
      <c r="E45" s="298">
        <f>IF(SUM(C20:D33)=0,0,SUM(C20:D33)/'Sch A6-TOU Cust Fcst '!B40)-E40</f>
        <v>0</v>
      </c>
      <c r="I45" s="298">
        <f>IF(SUM(G20:H33)=0,0,SUM(G20:H33)/'Sch A6-TOU Cust Fcst '!C40)-I40</f>
        <v>0</v>
      </c>
      <c r="M45" s="298">
        <f>IF(SUM(K20:L33)=0,0,SUM(K20:L33)/'Sch A6-TOU Cust Fcst '!D40)-M40</f>
        <v>0</v>
      </c>
    </row>
    <row r="46" spans="1:14">
      <c r="E46" s="298">
        <f>IF(SUM(C34:D36)=0,0,SUM(C34:D36)/'Sch A6-TOU Cust Fcst '!B41)-E41</f>
        <v>0</v>
      </c>
      <c r="I46" s="298">
        <f>IF(SUM(G34:H36)=0,0,SUM(G34:H36)/'Sch A6-TOU Cust Fcst '!C41)-I41</f>
        <v>0</v>
      </c>
      <c r="M46" s="298">
        <f>IF(SUM(K34:L36)=0,0,SUM(K34:L36)/'Sch A6-TOU Cust Fcst '!D41)-M41</f>
        <v>0</v>
      </c>
    </row>
    <row r="50" spans="1:2">
      <c r="A50" s="19"/>
      <c r="B50" s="19"/>
    </row>
    <row r="62" spans="1:2">
      <c r="A62" s="19"/>
      <c r="B62" s="19"/>
    </row>
  </sheetData>
  <mergeCells count="4">
    <mergeCell ref="A1:E1"/>
    <mergeCell ref="F2:I2"/>
    <mergeCell ref="B2:E2"/>
    <mergeCell ref="J2:M2"/>
  </mergeCells>
  <phoneticPr fontId="0" type="noConversion"/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53">
    <tabColor rgb="FFFFC000"/>
    <pageSetUpPr fitToPage="1"/>
  </sheetPr>
  <dimension ref="A1:M56"/>
  <sheetViews>
    <sheetView zoomScaleNormal="100" workbookViewId="0">
      <selection activeCell="K31" sqref="K31:M31"/>
    </sheetView>
  </sheetViews>
  <sheetFormatPr defaultRowHeight="12.75"/>
  <cols>
    <col min="1" max="1" width="40.7109375" customWidth="1"/>
    <col min="2" max="2" width="13.7109375" bestFit="1" customWidth="1"/>
    <col min="3" max="3" width="17.140625" bestFit="1" customWidth="1"/>
    <col min="4" max="4" width="8.85546875" style="12" bestFit="1" customWidth="1"/>
    <col min="5" max="5" width="14" style="12" bestFit="1" customWidth="1"/>
    <col min="6" max="6" width="15.140625" style="12" bestFit="1" customWidth="1"/>
    <col min="7" max="7" width="17" style="12" customWidth="1"/>
    <col min="8" max="8" width="16.85546875" style="12" bestFit="1" customWidth="1"/>
    <col min="9" max="9" width="16.5703125" style="12" bestFit="1" customWidth="1"/>
    <col min="10" max="10" width="15.42578125" bestFit="1" customWidth="1"/>
    <col min="11" max="11" width="16.5703125" customWidth="1"/>
    <col min="12" max="12" width="16.85546875" bestFit="1" customWidth="1"/>
    <col min="13" max="13" width="14.7109375" bestFit="1" customWidth="1"/>
  </cols>
  <sheetData>
    <row r="1" spans="1:13" ht="18.75" thickBot="1">
      <c r="A1" s="741" t="s">
        <v>146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</row>
    <row r="2" spans="1:13" ht="13.5" thickBot="1">
      <c r="A2" s="103"/>
      <c r="B2" s="742" t="s">
        <v>1</v>
      </c>
      <c r="C2" s="743"/>
      <c r="D2" s="743"/>
      <c r="E2" s="744"/>
      <c r="F2" s="742" t="s">
        <v>87</v>
      </c>
      <c r="G2" s="743"/>
      <c r="H2" s="743"/>
      <c r="I2" s="744"/>
      <c r="J2" s="742" t="s">
        <v>126</v>
      </c>
      <c r="K2" s="743"/>
      <c r="L2" s="743"/>
      <c r="M2" s="744"/>
    </row>
    <row r="3" spans="1:13" ht="13.5" thickBot="1">
      <c r="A3" s="77" t="s">
        <v>47</v>
      </c>
      <c r="B3" s="302" t="s">
        <v>152</v>
      </c>
      <c r="C3" s="450" t="s">
        <v>124</v>
      </c>
      <c r="D3" s="450" t="s">
        <v>88</v>
      </c>
      <c r="E3" s="451" t="s">
        <v>136</v>
      </c>
      <c r="F3" s="302" t="s">
        <v>152</v>
      </c>
      <c r="G3" s="450" t="s">
        <v>124</v>
      </c>
      <c r="H3" s="450" t="s">
        <v>88</v>
      </c>
      <c r="I3" s="451" t="s">
        <v>161</v>
      </c>
      <c r="J3" s="302" t="s">
        <v>152</v>
      </c>
      <c r="K3" s="450" t="s">
        <v>124</v>
      </c>
      <c r="L3" s="450" t="s">
        <v>88</v>
      </c>
      <c r="M3" s="456" t="s">
        <v>2</v>
      </c>
    </row>
    <row r="4" spans="1:13">
      <c r="A4" s="380"/>
      <c r="B4" s="35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>
      <c r="A5" s="117"/>
      <c r="B5" s="36"/>
      <c r="C5" s="8"/>
      <c r="D5" s="8"/>
      <c r="E5" s="9"/>
      <c r="F5" s="104"/>
      <c r="G5" s="8"/>
      <c r="H5" s="8"/>
      <c r="I5" s="9"/>
      <c r="J5" s="104"/>
      <c r="K5" s="8"/>
      <c r="L5" s="8"/>
      <c r="M5" s="9"/>
    </row>
    <row r="6" spans="1:13">
      <c r="A6" s="117" t="s">
        <v>49</v>
      </c>
      <c r="B6" s="36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</row>
    <row r="7" spans="1:13">
      <c r="A7" s="381"/>
      <c r="B7" s="37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</row>
    <row r="8" spans="1:13">
      <c r="A8" s="117" t="s">
        <v>53</v>
      </c>
      <c r="B8" s="115"/>
      <c r="C8" s="134">
        <f>'Sch A6-TOU TSM'!B40</f>
        <v>0</v>
      </c>
      <c r="D8" s="134"/>
      <c r="E8" s="44">
        <f>'Sch A6-TOU TSM'!B38</f>
        <v>0</v>
      </c>
      <c r="F8" s="115"/>
      <c r="G8" s="134"/>
      <c r="H8" s="134"/>
      <c r="I8" s="44"/>
      <c r="J8" s="115"/>
      <c r="K8" s="134">
        <f>'Sch A6-TOU TSM'!J40</f>
        <v>0</v>
      </c>
      <c r="L8" s="134"/>
      <c r="M8" s="44">
        <f>'Sch A6-TOU TSM'!J38</f>
        <v>0</v>
      </c>
    </row>
    <row r="9" spans="1:13">
      <c r="A9" s="117" t="s">
        <v>51</v>
      </c>
      <c r="B9" s="115"/>
      <c r="C9" s="134">
        <f>'Sch A6-TOU TSM'!C40</f>
        <v>3129.9273129422195</v>
      </c>
      <c r="D9" s="134"/>
      <c r="E9" s="44">
        <f>'Sch A6-TOU TSM'!C38</f>
        <v>3129.9273129422195</v>
      </c>
      <c r="F9" s="115"/>
      <c r="G9" s="134"/>
      <c r="H9" s="134"/>
      <c r="I9" s="44"/>
      <c r="J9" s="115"/>
      <c r="K9" s="134">
        <f>'Sch A6-TOU TSM'!K40</f>
        <v>3129.9273129422195</v>
      </c>
      <c r="L9" s="134"/>
      <c r="M9" s="44">
        <f>'Sch A6-TOU TSM'!K38</f>
        <v>3129.9273129422195</v>
      </c>
    </row>
    <row r="10" spans="1:13">
      <c r="A10" s="117" t="s">
        <v>52</v>
      </c>
      <c r="B10" s="115"/>
      <c r="C10" s="134">
        <f>'Sch A6-TOU TSM'!D40</f>
        <v>956.79196332763956</v>
      </c>
      <c r="D10" s="134"/>
      <c r="E10" s="44">
        <f>'Sch A6-TOU TSM'!D38</f>
        <v>956.79196332763956</v>
      </c>
      <c r="F10" s="115"/>
      <c r="G10" s="134"/>
      <c r="H10" s="134"/>
      <c r="I10" s="44"/>
      <c r="J10" s="115"/>
      <c r="K10" s="134">
        <f>'Sch A6-TOU TSM'!L40</f>
        <v>956.79196332763956</v>
      </c>
      <c r="L10" s="134"/>
      <c r="M10" s="44">
        <f>'Sch A6-TOU TSM'!L38</f>
        <v>956.79196332763956</v>
      </c>
    </row>
    <row r="11" spans="1:13">
      <c r="A11" s="382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</row>
    <row r="12" spans="1:13">
      <c r="A12" s="117" t="s">
        <v>35</v>
      </c>
      <c r="B12" s="114"/>
      <c r="C12" s="30">
        <f>SUM(C8:C10)</f>
        <v>4086.7192762698592</v>
      </c>
      <c r="D12" s="30"/>
      <c r="E12" s="40">
        <f>SUM(E8:E10)</f>
        <v>4086.7192762698592</v>
      </c>
      <c r="F12" s="114"/>
      <c r="G12" s="30"/>
      <c r="H12" s="30"/>
      <c r="I12" s="40"/>
      <c r="J12" s="114"/>
      <c r="K12" s="30">
        <f t="shared" ref="K12:M12" si="0">SUM(K8:K10)</f>
        <v>4086.7192762698592</v>
      </c>
      <c r="L12" s="30"/>
      <c r="M12" s="40">
        <f t="shared" si="0"/>
        <v>4086.7192762698592</v>
      </c>
    </row>
    <row r="13" spans="1:13">
      <c r="A13" s="382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</row>
    <row r="14" spans="1:13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</row>
    <row r="15" spans="1:13">
      <c r="A15" s="383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</row>
    <row r="16" spans="1: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</row>
    <row r="17" spans="1:13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</row>
    <row r="18" spans="1:13">
      <c r="A18" s="384" t="s">
        <v>97</v>
      </c>
      <c r="B18" s="114"/>
      <c r="C18" s="30">
        <f t="shared" ref="C18:M20" si="1">(C8*(1+$A$15)*(1+$A$17))</f>
        <v>0</v>
      </c>
      <c r="D18" s="30"/>
      <c r="E18" s="40">
        <f t="shared" si="1"/>
        <v>0</v>
      </c>
      <c r="F18" s="114"/>
      <c r="G18" s="30"/>
      <c r="H18" s="30"/>
      <c r="I18" s="40"/>
      <c r="J18" s="114"/>
      <c r="K18" s="30">
        <f t="shared" si="1"/>
        <v>0</v>
      </c>
      <c r="L18" s="30"/>
      <c r="M18" s="40">
        <f t="shared" si="1"/>
        <v>0</v>
      </c>
    </row>
    <row r="19" spans="1:13">
      <c r="A19" s="384" t="s">
        <v>51</v>
      </c>
      <c r="B19" s="114"/>
      <c r="C19" s="30">
        <f t="shared" si="1"/>
        <v>3265.0248521936915</v>
      </c>
      <c r="D19" s="30"/>
      <c r="E19" s="40">
        <f t="shared" si="1"/>
        <v>3265.0248521936915</v>
      </c>
      <c r="F19" s="114"/>
      <c r="G19" s="30"/>
      <c r="H19" s="30"/>
      <c r="I19" s="40"/>
      <c r="J19" s="114"/>
      <c r="K19" s="30">
        <f t="shared" si="1"/>
        <v>3265.0248521936915</v>
      </c>
      <c r="L19" s="30"/>
      <c r="M19" s="40">
        <f t="shared" si="1"/>
        <v>3265.0248521936915</v>
      </c>
    </row>
    <row r="20" spans="1:13">
      <c r="A20" s="384" t="s">
        <v>52</v>
      </c>
      <c r="B20" s="114"/>
      <c r="C20" s="30">
        <f t="shared" si="1"/>
        <v>998.09012360332997</v>
      </c>
      <c r="D20" s="30"/>
      <c r="E20" s="40">
        <f t="shared" si="1"/>
        <v>998.09012360332997</v>
      </c>
      <c r="F20" s="114"/>
      <c r="G20" s="30"/>
      <c r="H20" s="30"/>
      <c r="I20" s="40"/>
      <c r="J20" s="114"/>
      <c r="K20" s="30">
        <f t="shared" si="1"/>
        <v>998.09012360332997</v>
      </c>
      <c r="L20" s="30"/>
      <c r="M20" s="40">
        <f t="shared" si="1"/>
        <v>998.09012360332997</v>
      </c>
    </row>
    <row r="21" spans="1:13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</row>
    <row r="22" spans="1:13">
      <c r="A22" s="117" t="s">
        <v>35</v>
      </c>
      <c r="B22" s="119"/>
      <c r="C22" s="73">
        <f t="shared" ref="C22:M22" si="2">C18+C19+C20</f>
        <v>4263.1149757970215</v>
      </c>
      <c r="D22" s="73"/>
      <c r="E22" s="75">
        <f t="shared" si="2"/>
        <v>4263.1149757970215</v>
      </c>
      <c r="F22" s="119"/>
      <c r="G22" s="73"/>
      <c r="H22" s="73"/>
      <c r="I22" s="75"/>
      <c r="J22" s="119"/>
      <c r="K22" s="73">
        <f>K18+K19+K20</f>
        <v>4263.1149757970215</v>
      </c>
      <c r="L22" s="73"/>
      <c r="M22" s="75">
        <f t="shared" si="2"/>
        <v>4263.1149757970215</v>
      </c>
    </row>
    <row r="23" spans="1:13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</row>
    <row r="24" spans="1:13">
      <c r="A24" s="384" t="str">
        <f>'Resid TSM Sum by Rate Schedule'!A25</f>
        <v>Annualized Transformer Cost at 8.05%</v>
      </c>
      <c r="B24" s="119"/>
      <c r="C24" s="73">
        <f>C18*Inputs!$C$5</f>
        <v>0</v>
      </c>
      <c r="D24" s="73"/>
      <c r="E24" s="75">
        <f>E18*Inputs!$C$5</f>
        <v>0</v>
      </c>
      <c r="F24" s="119"/>
      <c r="G24" s="73"/>
      <c r="H24" s="73"/>
      <c r="I24" s="75"/>
      <c r="J24" s="119"/>
      <c r="K24" s="73">
        <f>K18*Inputs!$C$5</f>
        <v>0</v>
      </c>
      <c r="L24" s="73"/>
      <c r="M24" s="75">
        <f>M18*Inputs!$C$5</f>
        <v>0</v>
      </c>
    </row>
    <row r="25" spans="1:13">
      <c r="A25" s="384" t="str">
        <f>'Resid TSM Sum by Rate Schedule'!A26</f>
        <v>Annualized Services Cost at 7.08%</v>
      </c>
      <c r="B25" s="119"/>
      <c r="C25" s="73">
        <f>C19*Inputs!$C$6</f>
        <v>231.08232962526188</v>
      </c>
      <c r="D25" s="73"/>
      <c r="E25" s="75">
        <f>E19*Inputs!$C$6</f>
        <v>231.08232962526188</v>
      </c>
      <c r="F25" s="119"/>
      <c r="G25" s="73"/>
      <c r="H25" s="73"/>
      <c r="I25" s="75"/>
      <c r="J25" s="119"/>
      <c r="K25" s="73">
        <f>K19*Inputs!$C$6</f>
        <v>231.08232962526188</v>
      </c>
      <c r="L25" s="73"/>
      <c r="M25" s="75">
        <f>M19*Inputs!$C$6</f>
        <v>231.08232962526188</v>
      </c>
    </row>
    <row r="26" spans="1:13" ht="15">
      <c r="A26" s="384" t="str">
        <f>'Resid TSM Sum by Rate Schedule'!A27</f>
        <v>Annualized Meter Cost at 10.78%</v>
      </c>
      <c r="B26" s="465"/>
      <c r="C26" s="464">
        <f>C20*Inputs!$C$7</f>
        <v>107.56062874853031</v>
      </c>
      <c r="D26" s="464"/>
      <c r="E26" s="463">
        <f>E20*Inputs!$C$7</f>
        <v>107.56062874853031</v>
      </c>
      <c r="F26" s="465"/>
      <c r="G26" s="464"/>
      <c r="H26" s="464"/>
      <c r="I26" s="463"/>
      <c r="J26" s="465"/>
      <c r="K26" s="464">
        <f>K20*Inputs!$C$7</f>
        <v>107.56062874853031</v>
      </c>
      <c r="L26" s="464"/>
      <c r="M26" s="463">
        <f>M20*Inputs!$C$7</f>
        <v>107.56062874853031</v>
      </c>
    </row>
    <row r="27" spans="1:13">
      <c r="A27" s="459" t="s">
        <v>312</v>
      </c>
      <c r="B27" s="119"/>
      <c r="C27" s="73">
        <f t="shared" ref="C27:M27" si="3">SUM(C24:C26)</f>
        <v>338.64295837379217</v>
      </c>
      <c r="D27" s="73"/>
      <c r="E27" s="75">
        <f t="shared" si="3"/>
        <v>338.64295837379217</v>
      </c>
      <c r="F27" s="119"/>
      <c r="G27" s="73"/>
      <c r="H27" s="73"/>
      <c r="I27" s="75"/>
      <c r="J27" s="119"/>
      <c r="K27" s="73">
        <f t="shared" si="3"/>
        <v>338.64295837379217</v>
      </c>
      <c r="L27" s="73"/>
      <c r="M27" s="75">
        <f t="shared" si="3"/>
        <v>338.64295837379217</v>
      </c>
    </row>
    <row r="28" spans="1:13">
      <c r="A28" s="383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</row>
    <row r="29" spans="1:13">
      <c r="A29" s="117" t="s">
        <v>50</v>
      </c>
      <c r="B29" s="114"/>
      <c r="C29" s="30">
        <f>'Distribution O&amp;M Allocations'!$X$20</f>
        <v>137.21726548349974</v>
      </c>
      <c r="D29" s="30"/>
      <c r="E29" s="30">
        <f>'Distribution O&amp;M Allocations'!$X$20</f>
        <v>137.21726548349974</v>
      </c>
      <c r="F29" s="114"/>
      <c r="G29" s="30"/>
      <c r="H29" s="30"/>
      <c r="I29" s="40"/>
      <c r="J29" s="114"/>
      <c r="K29" s="30">
        <f>C29</f>
        <v>137.21726548349974</v>
      </c>
      <c r="L29" s="30"/>
      <c r="M29" s="40">
        <f>E29</f>
        <v>137.21726548349974</v>
      </c>
    </row>
    <row r="30" spans="1:13">
      <c r="A30" s="118"/>
      <c r="B30" s="10"/>
      <c r="C30" s="27"/>
      <c r="D30" s="27"/>
      <c r="E30" s="81"/>
      <c r="F30" s="10"/>
      <c r="G30" s="27"/>
      <c r="H30" s="27"/>
      <c r="I30" s="81"/>
      <c r="J30" s="10"/>
      <c r="K30" s="27"/>
      <c r="L30" s="27"/>
      <c r="M30" s="81"/>
    </row>
    <row r="31" spans="1:13">
      <c r="A31" s="117" t="s">
        <v>57</v>
      </c>
      <c r="B31" s="164"/>
      <c r="C31" s="724">
        <v>447.86258547437507</v>
      </c>
      <c r="D31" s="724"/>
      <c r="E31" s="726">
        <v>447.86258547437507</v>
      </c>
      <c r="F31" s="164"/>
      <c r="G31" s="165"/>
      <c r="H31" s="165"/>
      <c r="I31" s="293"/>
      <c r="J31" s="164"/>
      <c r="K31" s="724">
        <v>447.86258547437507</v>
      </c>
      <c r="L31" s="724"/>
      <c r="M31" s="726">
        <v>447.86258547437507</v>
      </c>
    </row>
    <row r="32" spans="1:13" ht="13.5" thickBot="1">
      <c r="A32" s="12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</row>
    <row r="33" spans="1:13" ht="13.5" thickBot="1">
      <c r="A33" s="385" t="s">
        <v>133</v>
      </c>
      <c r="B33" s="283"/>
      <c r="C33" s="283">
        <f t="shared" ref="C33:M33" si="4">C27+C29+C31</f>
        <v>923.72280933166689</v>
      </c>
      <c r="D33" s="283"/>
      <c r="E33" s="294">
        <f t="shared" si="4"/>
        <v>923.72280933166689</v>
      </c>
      <c r="F33" s="283"/>
      <c r="G33" s="283"/>
      <c r="H33" s="283"/>
      <c r="I33" s="283"/>
      <c r="J33" s="282"/>
      <c r="K33" s="283">
        <f>K27+K29+K31</f>
        <v>923.72280933166689</v>
      </c>
      <c r="L33" s="283"/>
      <c r="M33" s="294">
        <f t="shared" si="4"/>
        <v>923.72280933166689</v>
      </c>
    </row>
    <row r="34" spans="1:13">
      <c r="C34" s="18"/>
      <c r="D34" s="13"/>
      <c r="E34" s="13"/>
      <c r="F34" s="13"/>
      <c r="G34" s="13"/>
      <c r="H34" s="13"/>
      <c r="I34" s="13"/>
    </row>
    <row r="36" spans="1:13">
      <c r="A36" t="s">
        <v>3</v>
      </c>
    </row>
    <row r="44" spans="1:13">
      <c r="A44" s="19"/>
      <c r="B44" s="19"/>
    </row>
    <row r="56" spans="1:2">
      <c r="A56" s="19"/>
      <c r="B56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1" orientation="portrait" r:id="rId1"/>
  <headerFooter alignWithMargins="0">
    <oddFooter>&amp;L&amp;F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D41"/>
  <sheetViews>
    <sheetView zoomScaleNormal="100" workbookViewId="0">
      <selection activeCell="C17" sqref="C17"/>
    </sheetView>
  </sheetViews>
  <sheetFormatPr defaultRowHeight="12.75"/>
  <cols>
    <col min="2" max="2" width="70.5703125" customWidth="1"/>
    <col min="3" max="3" width="34.28515625" customWidth="1"/>
    <col min="4" max="4" width="9.140625" style="168"/>
  </cols>
  <sheetData>
    <row r="1" spans="2:4" s="60" customFormat="1">
      <c r="B1" s="59"/>
      <c r="D1" s="166"/>
    </row>
    <row r="2" spans="2:4" s="60" customFormat="1" ht="13.5" thickBot="1">
      <c r="B2" s="62" t="s">
        <v>66</v>
      </c>
      <c r="C2" s="63"/>
      <c r="D2" s="166"/>
    </row>
    <row r="3" spans="2:4" s="60" customFormat="1">
      <c r="B3" s="100" t="s">
        <v>304</v>
      </c>
      <c r="C3" s="422">
        <v>2.7723662892949787E-2</v>
      </c>
      <c r="D3" s="167"/>
    </row>
    <row r="4" spans="2:4" s="60" customFormat="1">
      <c r="B4" s="29" t="s">
        <v>380</v>
      </c>
      <c r="C4" s="569">
        <v>1.5023E-2</v>
      </c>
      <c r="D4" s="167"/>
    </row>
    <row r="5" spans="2:4" s="60" customFormat="1">
      <c r="B5" s="123" t="s">
        <v>309</v>
      </c>
      <c r="C5" s="476">
        <v>8.047866253352963E-2</v>
      </c>
      <c r="D5" s="167"/>
    </row>
    <row r="6" spans="2:4" s="60" customFormat="1">
      <c r="B6" s="123" t="s">
        <v>310</v>
      </c>
      <c r="C6" s="476">
        <v>7.0775059941734664E-2</v>
      </c>
      <c r="D6" s="167"/>
    </row>
    <row r="7" spans="2:4" s="60" customFormat="1">
      <c r="B7" s="123" t="s">
        <v>311</v>
      </c>
      <c r="C7" s="476">
        <v>0.1077664493464901</v>
      </c>
      <c r="D7" s="167"/>
    </row>
    <row r="8" spans="2:4" s="60" customFormat="1" ht="13.5" thickBot="1">
      <c r="B8" s="477" t="s">
        <v>308</v>
      </c>
      <c r="C8" s="478">
        <v>0.31455682511593847</v>
      </c>
      <c r="D8" s="167"/>
    </row>
    <row r="9" spans="2:4" s="60" customFormat="1">
      <c r="C9" s="412"/>
      <c r="D9" s="166"/>
    </row>
    <row r="10" spans="2:4" s="60" customFormat="1" ht="13.5" thickBot="1">
      <c r="B10" s="64" t="s">
        <v>65</v>
      </c>
      <c r="C10" s="413"/>
      <c r="D10" s="166"/>
    </row>
    <row r="11" spans="2:4" s="60" customFormat="1">
      <c r="B11" s="61"/>
      <c r="C11" s="423"/>
      <c r="D11" s="166"/>
    </row>
    <row r="12" spans="2:4" s="60" customFormat="1">
      <c r="B12" s="29" t="s">
        <v>321</v>
      </c>
      <c r="C12" s="424">
        <v>1.085144063993809</v>
      </c>
      <c r="D12" s="167"/>
    </row>
    <row r="13" spans="2:4" s="60" customFormat="1">
      <c r="B13" s="29" t="s">
        <v>322</v>
      </c>
      <c r="C13" s="424">
        <v>1.0535477337285415</v>
      </c>
      <c r="D13" s="167"/>
    </row>
    <row r="14" spans="2:4" s="60" customFormat="1" ht="13.5" thickBot="1">
      <c r="B14" s="72" t="s">
        <v>323</v>
      </c>
      <c r="C14" s="425">
        <v>1.0752188869568078</v>
      </c>
      <c r="D14" s="167"/>
    </row>
    <row r="15" spans="2:4" s="60" customFormat="1" ht="13.5" thickBot="1">
      <c r="B15" s="170"/>
      <c r="C15" s="457"/>
      <c r="D15" s="167"/>
    </row>
    <row r="16" spans="2:4" s="60" customFormat="1">
      <c r="B16" s="479" t="s">
        <v>324</v>
      </c>
      <c r="C16" s="560">
        <v>4489781.140500363</v>
      </c>
      <c r="D16" s="167"/>
    </row>
    <row r="17" spans="1:4" s="60" customFormat="1">
      <c r="B17" s="123" t="s">
        <v>325</v>
      </c>
      <c r="C17" s="729">
        <v>1482557.75</v>
      </c>
      <c r="D17" s="167"/>
    </row>
    <row r="18" spans="1:4" s="60" customFormat="1" ht="13.5" thickBot="1">
      <c r="B18" s="477" t="s">
        <v>326</v>
      </c>
      <c r="C18" s="718">
        <f>C16/C17</f>
        <v>3.0284021924274875</v>
      </c>
      <c r="D18" s="167"/>
    </row>
    <row r="19" spans="1:4" s="60" customFormat="1" ht="13.5" thickBot="1">
      <c r="B19" s="177"/>
      <c r="C19" s="559"/>
      <c r="D19" s="167"/>
    </row>
    <row r="20" spans="1:4" s="60" customFormat="1">
      <c r="B20" s="479" t="s">
        <v>462</v>
      </c>
      <c r="C20" s="560">
        <f>3241</f>
        <v>3241</v>
      </c>
      <c r="D20" s="167"/>
    </row>
    <row r="21" spans="1:4" s="60" customFormat="1" ht="13.5" thickBot="1">
      <c r="B21" s="477" t="s">
        <v>465</v>
      </c>
      <c r="C21" s="561">
        <v>0.80862720124374765</v>
      </c>
      <c r="D21" s="167"/>
    </row>
    <row r="22" spans="1:4" s="60" customFormat="1">
      <c r="B22" s="177"/>
      <c r="C22" s="559"/>
      <c r="D22" s="167"/>
    </row>
    <row r="23" spans="1:4" s="60" customFormat="1">
      <c r="B23" s="170"/>
      <c r="C23" s="99"/>
      <c r="D23" s="167"/>
    </row>
    <row r="24" spans="1:4" s="60" customFormat="1">
      <c r="A24" s="66" t="s">
        <v>307</v>
      </c>
      <c r="C24" s="99"/>
      <c r="D24" s="167"/>
    </row>
    <row r="25" spans="1:4">
      <c r="B25" s="411" t="s">
        <v>381</v>
      </c>
      <c r="C25" s="52"/>
    </row>
    <row r="26" spans="1:4">
      <c r="B26" s="411" t="s">
        <v>367</v>
      </c>
      <c r="C26" s="52"/>
    </row>
    <row r="27" spans="1:4">
      <c r="B27" s="526" t="s">
        <v>382</v>
      </c>
      <c r="C27" s="52"/>
    </row>
    <row r="28" spans="1:4">
      <c r="B28" s="411" t="s">
        <v>315</v>
      </c>
      <c r="C28" s="52"/>
    </row>
    <row r="29" spans="1:4">
      <c r="B29" s="58" t="s">
        <v>368</v>
      </c>
    </row>
    <row r="30" spans="1:4">
      <c r="B30" s="58" t="s">
        <v>320</v>
      </c>
    </row>
    <row r="31" spans="1:4">
      <c r="B31" s="58" t="s">
        <v>369</v>
      </c>
    </row>
    <row r="32" spans="1:4">
      <c r="B32" s="58" t="s">
        <v>320</v>
      </c>
    </row>
    <row r="33" spans="2:4">
      <c r="B33" s="58" t="s">
        <v>370</v>
      </c>
    </row>
    <row r="34" spans="2:4">
      <c r="B34" s="58" t="s">
        <v>319</v>
      </c>
    </row>
    <row r="35" spans="2:4">
      <c r="B35" s="437" t="s">
        <v>371</v>
      </c>
      <c r="C35" s="52"/>
      <c r="D35"/>
    </row>
    <row r="36" spans="2:4">
      <c r="B36" s="437" t="s">
        <v>372</v>
      </c>
      <c r="C36" s="52"/>
      <c r="D36"/>
    </row>
    <row r="37" spans="2:4">
      <c r="B37" s="437" t="s">
        <v>374</v>
      </c>
      <c r="C37" s="52"/>
      <c r="D37"/>
    </row>
    <row r="38" spans="2:4">
      <c r="B38" s="437" t="s">
        <v>373</v>
      </c>
      <c r="C38" s="52"/>
      <c r="D38"/>
    </row>
    <row r="39" spans="2:4">
      <c r="B39" s="437" t="s">
        <v>463</v>
      </c>
      <c r="C39" s="52"/>
      <c r="D39"/>
    </row>
    <row r="40" spans="2:4">
      <c r="B40" s="437" t="s">
        <v>464</v>
      </c>
      <c r="C40" s="52"/>
      <c r="D40"/>
    </row>
    <row r="41" spans="2:4">
      <c r="B41" s="437" t="s">
        <v>461</v>
      </c>
      <c r="D41"/>
    </row>
  </sheetData>
  <phoneticPr fontId="4" type="noConversion"/>
  <printOptions horizontalCentered="1"/>
  <pageMargins left="0.75" right="0.75" top="1" bottom="1" header="0.5" footer="0.5"/>
  <pageSetup scale="80" orientation="portrait" r:id="rId1"/>
  <headerFooter alignWithMargins="0">
    <oddFooter>&amp;L&amp;F
&amp;A&amp;R&amp;P of 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54">
    <tabColor rgb="FFFFC000"/>
    <pageSetUpPr fitToPage="1"/>
  </sheetPr>
  <dimension ref="A1:M58"/>
  <sheetViews>
    <sheetView topLeftCell="B3" zoomScaleNormal="100" workbookViewId="0">
      <selection activeCell="L20" sqref="L20"/>
    </sheetView>
  </sheetViews>
  <sheetFormatPr defaultRowHeight="12.75"/>
  <cols>
    <col min="1" max="1" width="40.7109375" customWidth="1"/>
    <col min="2" max="2" width="14" bestFit="1" customWidth="1"/>
    <col min="3" max="3" width="17" customWidth="1"/>
    <col min="4" max="4" width="10.42578125" style="12" bestFit="1" customWidth="1"/>
    <col min="5" max="5" width="13.42578125" style="12" bestFit="1" customWidth="1"/>
    <col min="6" max="6" width="15.140625" style="12" bestFit="1" customWidth="1"/>
    <col min="7" max="7" width="17" style="12" customWidth="1"/>
    <col min="8" max="8" width="16.5703125" style="12" bestFit="1" customWidth="1"/>
    <col min="9" max="9" width="16.28515625" style="12" bestFit="1" customWidth="1"/>
    <col min="10" max="10" width="14.85546875" bestFit="1" customWidth="1"/>
    <col min="11" max="11" width="17" customWidth="1"/>
    <col min="12" max="12" width="16.5703125" bestFit="1" customWidth="1"/>
    <col min="13" max="13" width="14.85546875" bestFit="1" customWidth="1"/>
  </cols>
  <sheetData>
    <row r="1" spans="1:13" ht="18.75" thickBot="1">
      <c r="A1" s="741" t="s">
        <v>334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</row>
    <row r="2" spans="1:13" ht="13.5" thickBot="1">
      <c r="A2" s="297"/>
      <c r="B2" s="742" t="s">
        <v>1</v>
      </c>
      <c r="C2" s="743"/>
      <c r="D2" s="743"/>
      <c r="E2" s="744"/>
      <c r="F2" s="742" t="s">
        <v>87</v>
      </c>
      <c r="G2" s="743"/>
      <c r="H2" s="743"/>
      <c r="I2" s="744"/>
      <c r="J2" s="742" t="s">
        <v>126</v>
      </c>
      <c r="K2" s="743"/>
      <c r="L2" s="743"/>
      <c r="M2" s="744"/>
    </row>
    <row r="3" spans="1:13" ht="13.5" thickBot="1">
      <c r="A3" s="295" t="s">
        <v>47</v>
      </c>
      <c r="B3" s="302" t="s">
        <v>152</v>
      </c>
      <c r="C3" s="450" t="s">
        <v>124</v>
      </c>
      <c r="D3" s="450" t="s">
        <v>88</v>
      </c>
      <c r="E3" s="451" t="s">
        <v>136</v>
      </c>
      <c r="F3" s="302" t="s">
        <v>152</v>
      </c>
      <c r="G3" s="450" t="s">
        <v>124</v>
      </c>
      <c r="H3" s="450" t="s">
        <v>88</v>
      </c>
      <c r="I3" s="451" t="s">
        <v>198</v>
      </c>
      <c r="J3" s="302" t="s">
        <v>152</v>
      </c>
      <c r="K3" s="450" t="s">
        <v>124</v>
      </c>
      <c r="L3" s="450" t="s">
        <v>88</v>
      </c>
      <c r="M3" s="451" t="s">
        <v>2</v>
      </c>
    </row>
    <row r="4" spans="1:13">
      <c r="A4" s="35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>
      <c r="A5" s="36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</row>
    <row r="6" spans="1:13">
      <c r="A6" s="36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</row>
    <row r="7" spans="1:13">
      <c r="A7" s="37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</row>
    <row r="8" spans="1:13">
      <c r="A8" s="36" t="s">
        <v>53</v>
      </c>
      <c r="B8" s="115"/>
      <c r="C8" s="134">
        <f>'Sch A6-TOU TSM Summary'!C8*Inputs!$C$12</f>
        <v>0</v>
      </c>
      <c r="D8" s="134"/>
      <c r="E8" s="44">
        <f>'Sch A6-TOU TSM Summary'!E8*Inputs!$C$12</f>
        <v>0</v>
      </c>
      <c r="F8" s="115"/>
      <c r="G8" s="134">
        <f>'Sch A6-TOU TSM Summary'!G8*Inputs!$C$12</f>
        <v>0</v>
      </c>
      <c r="H8" s="134">
        <f>'Sch A6-TOU TSM Summary'!H8*Inputs!$C$12</f>
        <v>0</v>
      </c>
      <c r="I8" s="44">
        <f>'Sch A6-TOU TSM Summary'!I8*Inputs!$C$12</f>
        <v>0</v>
      </c>
      <c r="J8" s="115"/>
      <c r="K8" s="134">
        <f>'Sch A6-TOU TSM Summary'!K8*Inputs!$C$12</f>
        <v>0</v>
      </c>
      <c r="L8" s="134">
        <f>'Sch A6-TOU TSM Summary'!L8*Inputs!$C$12</f>
        <v>0</v>
      </c>
      <c r="M8" s="44">
        <f>'Sch A6-TOU TSM Summary'!M8*Inputs!$C$12</f>
        <v>0</v>
      </c>
    </row>
    <row r="9" spans="1:13">
      <c r="A9" s="36" t="s">
        <v>51</v>
      </c>
      <c r="B9" s="115"/>
      <c r="C9" s="134">
        <f>'Sch A6-TOU TSM Summary'!C9*Inputs!$C$12</f>
        <v>3396.4220443713425</v>
      </c>
      <c r="D9" s="134"/>
      <c r="E9" s="44">
        <f>'Sch A6-TOU TSM Summary'!E9*Inputs!$C$12</f>
        <v>3396.4220443713425</v>
      </c>
      <c r="F9" s="115"/>
      <c r="G9" s="134">
        <f>'Sch A6-TOU TSM Summary'!G9*Inputs!$C$12</f>
        <v>0</v>
      </c>
      <c r="H9" s="134">
        <f>'Sch A6-TOU TSM Summary'!H9*Inputs!$C$12</f>
        <v>0</v>
      </c>
      <c r="I9" s="44">
        <f>'Sch A6-TOU TSM Summary'!I9*Inputs!$C$12</f>
        <v>0</v>
      </c>
      <c r="J9" s="115"/>
      <c r="K9" s="134">
        <f>'Sch A6-TOU TSM Summary'!K9*Inputs!$C$12</f>
        <v>3396.4220443713425</v>
      </c>
      <c r="L9" s="134">
        <f>'Sch A6-TOU TSM Summary'!L9*Inputs!$C$12</f>
        <v>0</v>
      </c>
      <c r="M9" s="44">
        <f>'Sch A6-TOU TSM Summary'!M9*Inputs!$C$12</f>
        <v>3396.4220443713425</v>
      </c>
    </row>
    <row r="10" spans="1:13">
      <c r="A10" s="36" t="s">
        <v>52</v>
      </c>
      <c r="B10" s="115"/>
      <c r="C10" s="134">
        <f>'Sch A6-TOU TSM Summary'!C10*Inputs!$C$12</f>
        <v>1038.2571194819702</v>
      </c>
      <c r="D10" s="134"/>
      <c r="E10" s="44">
        <f>'Sch A6-TOU TSM Summary'!E10*Inputs!$C$12</f>
        <v>1038.2571194819702</v>
      </c>
      <c r="F10" s="115"/>
      <c r="G10" s="134">
        <f>'Sch A6-TOU TSM Summary'!G10*Inputs!$C$12</f>
        <v>0</v>
      </c>
      <c r="H10" s="134">
        <f>'Sch A6-TOU TSM Summary'!H10*Inputs!$C$12</f>
        <v>0</v>
      </c>
      <c r="I10" s="44">
        <f>'Sch A6-TOU TSM Summary'!I10*Inputs!$C$12</f>
        <v>0</v>
      </c>
      <c r="J10" s="115"/>
      <c r="K10" s="134">
        <f>'Sch A6-TOU TSM Summary'!K10*Inputs!$C$12</f>
        <v>1038.2571194819702</v>
      </c>
      <c r="L10" s="134">
        <f>'Sch A6-TOU TSM Summary'!L10*Inputs!$C$12</f>
        <v>0</v>
      </c>
      <c r="M10" s="44">
        <f>'Sch A6-TOU TSM Summary'!M10*Inputs!$C$12</f>
        <v>1038.2571194819702</v>
      </c>
    </row>
    <row r="11" spans="1:13">
      <c r="A11" s="38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</row>
    <row r="12" spans="1:13">
      <c r="A12" s="36" t="s">
        <v>35</v>
      </c>
      <c r="B12" s="114"/>
      <c r="C12" s="30">
        <f t="shared" ref="C12:M12" si="0">SUM(C8:C10)</f>
        <v>4434.6791638533123</v>
      </c>
      <c r="D12" s="30"/>
      <c r="E12" s="40">
        <f t="shared" si="0"/>
        <v>4434.6791638533123</v>
      </c>
      <c r="F12" s="114"/>
      <c r="G12" s="30">
        <f t="shared" si="0"/>
        <v>0</v>
      </c>
      <c r="H12" s="30">
        <f t="shared" si="0"/>
        <v>0</v>
      </c>
      <c r="I12" s="40">
        <f t="shared" si="0"/>
        <v>0</v>
      </c>
      <c r="J12" s="114"/>
      <c r="K12" s="30">
        <f t="shared" si="0"/>
        <v>4434.6791638533123</v>
      </c>
      <c r="L12" s="30">
        <f t="shared" si="0"/>
        <v>0</v>
      </c>
      <c r="M12" s="40">
        <f t="shared" si="0"/>
        <v>4434.6791638533123</v>
      </c>
    </row>
    <row r="13" spans="1:13">
      <c r="A13" s="38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</row>
    <row r="14" spans="1:13">
      <c r="A14" s="36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</row>
    <row r="15" spans="1:13">
      <c r="A15" s="4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</row>
    <row r="16" spans="1: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</row>
    <row r="17" spans="1:13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</row>
    <row r="18" spans="1:13">
      <c r="A18" s="94" t="s">
        <v>97</v>
      </c>
      <c r="B18" s="114"/>
      <c r="C18" s="30">
        <f t="shared" ref="C18:M20" si="1">(C8*(1+$A$15)*(1+$A$17))</f>
        <v>0</v>
      </c>
      <c r="D18" s="30"/>
      <c r="E18" s="40">
        <f t="shared" si="1"/>
        <v>0</v>
      </c>
      <c r="F18" s="114"/>
      <c r="G18" s="30">
        <f t="shared" si="1"/>
        <v>0</v>
      </c>
      <c r="H18" s="30">
        <f t="shared" si="1"/>
        <v>0</v>
      </c>
      <c r="I18" s="40">
        <f t="shared" si="1"/>
        <v>0</v>
      </c>
      <c r="J18" s="114"/>
      <c r="K18" s="30">
        <f t="shared" si="1"/>
        <v>0</v>
      </c>
      <c r="L18" s="30">
        <f t="shared" si="1"/>
        <v>0</v>
      </c>
      <c r="M18" s="40">
        <f t="shared" si="1"/>
        <v>0</v>
      </c>
    </row>
    <row r="19" spans="1:13">
      <c r="A19" s="94" t="s">
        <v>51</v>
      </c>
      <c r="B19" s="114"/>
      <c r="C19" s="30">
        <f t="shared" si="1"/>
        <v>3543.0223371502479</v>
      </c>
      <c r="D19" s="30"/>
      <c r="E19" s="40">
        <f t="shared" si="1"/>
        <v>3543.0223371502479</v>
      </c>
      <c r="F19" s="114"/>
      <c r="G19" s="30">
        <f t="shared" si="1"/>
        <v>0</v>
      </c>
      <c r="H19" s="30">
        <f t="shared" si="1"/>
        <v>0</v>
      </c>
      <c r="I19" s="40">
        <f t="shared" si="1"/>
        <v>0</v>
      </c>
      <c r="J19" s="114"/>
      <c r="K19" s="30">
        <f t="shared" si="1"/>
        <v>3543.0223371502479</v>
      </c>
      <c r="L19" s="30">
        <f t="shared" si="1"/>
        <v>0</v>
      </c>
      <c r="M19" s="40">
        <f t="shared" si="1"/>
        <v>3543.0223371502479</v>
      </c>
    </row>
    <row r="20" spans="1:13">
      <c r="A20" s="94" t="s">
        <v>52</v>
      </c>
      <c r="B20" s="114"/>
      <c r="C20" s="30">
        <f t="shared" si="1"/>
        <v>1083.0715729590006</v>
      </c>
      <c r="D20" s="30"/>
      <c r="E20" s="40">
        <f t="shared" si="1"/>
        <v>1083.0715729590006</v>
      </c>
      <c r="F20" s="114"/>
      <c r="G20" s="30">
        <f t="shared" si="1"/>
        <v>0</v>
      </c>
      <c r="H20" s="30">
        <f t="shared" si="1"/>
        <v>0</v>
      </c>
      <c r="I20" s="40">
        <f t="shared" si="1"/>
        <v>0</v>
      </c>
      <c r="J20" s="114"/>
      <c r="K20" s="30">
        <f t="shared" si="1"/>
        <v>1083.0715729590006</v>
      </c>
      <c r="L20" s="30">
        <f t="shared" si="1"/>
        <v>0</v>
      </c>
      <c r="M20" s="40">
        <f t="shared" si="1"/>
        <v>1083.0715729590006</v>
      </c>
    </row>
    <row r="21" spans="1:13">
      <c r="A21" s="36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</row>
    <row r="22" spans="1:13">
      <c r="A22" s="36" t="s">
        <v>35</v>
      </c>
      <c r="B22" s="119"/>
      <c r="C22" s="73">
        <f t="shared" ref="C22:M22" si="2">C18+C19+C20</f>
        <v>4626.0939101092481</v>
      </c>
      <c r="D22" s="73"/>
      <c r="E22" s="75">
        <f t="shared" si="2"/>
        <v>4626.0939101092481</v>
      </c>
      <c r="F22" s="119"/>
      <c r="G22" s="73">
        <f t="shared" si="2"/>
        <v>0</v>
      </c>
      <c r="H22" s="73">
        <f t="shared" si="2"/>
        <v>0</v>
      </c>
      <c r="I22" s="75">
        <f t="shared" si="2"/>
        <v>0</v>
      </c>
      <c r="J22" s="119"/>
      <c r="K22" s="73">
        <f t="shared" si="2"/>
        <v>4626.0939101092481</v>
      </c>
      <c r="L22" s="73">
        <f t="shared" si="2"/>
        <v>0</v>
      </c>
      <c r="M22" s="75">
        <f t="shared" si="2"/>
        <v>4626.0939101092481</v>
      </c>
    </row>
    <row r="23" spans="1:13">
      <c r="A23" s="36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</row>
    <row r="24" spans="1:13">
      <c r="A24" s="384" t="str">
        <f>'Resid TSM Sum by Rate Schedule'!A25</f>
        <v>Annualized Transformer Cost at 8.05%</v>
      </c>
      <c r="B24" s="119"/>
      <c r="C24" s="73">
        <f>C18*Inputs!$C$5</f>
        <v>0</v>
      </c>
      <c r="D24" s="73"/>
      <c r="E24" s="75">
        <f>E18*Inputs!$C$5</f>
        <v>0</v>
      </c>
      <c r="F24" s="119"/>
      <c r="G24" s="73">
        <f>G18*Inputs!$C$5</f>
        <v>0</v>
      </c>
      <c r="H24" s="73">
        <f>H18*Inputs!$C$5</f>
        <v>0</v>
      </c>
      <c r="I24" s="75">
        <f>I18*Inputs!$C$5</f>
        <v>0</v>
      </c>
      <c r="J24" s="119"/>
      <c r="K24" s="73">
        <f>K18*Inputs!$C$5</f>
        <v>0</v>
      </c>
      <c r="L24" s="73">
        <f>L18*Inputs!$C$5</f>
        <v>0</v>
      </c>
      <c r="M24" s="75">
        <f>M18*Inputs!$C$5</f>
        <v>0</v>
      </c>
    </row>
    <row r="25" spans="1:13">
      <c r="A25" s="384" t="str">
        <f>'Resid TSM Sum by Rate Schedule'!A26</f>
        <v>Annualized Services Cost at 7.08%</v>
      </c>
      <c r="B25" s="119"/>
      <c r="C25" s="73">
        <f>C19*Inputs!$C$6</f>
        <v>250.75761828671364</v>
      </c>
      <c r="D25" s="73"/>
      <c r="E25" s="75">
        <f>E19*Inputs!$C$6</f>
        <v>250.75761828671364</v>
      </c>
      <c r="F25" s="119"/>
      <c r="G25" s="73">
        <f>G19*Inputs!$C$6</f>
        <v>0</v>
      </c>
      <c r="H25" s="73">
        <f>H19*Inputs!$C$6</f>
        <v>0</v>
      </c>
      <c r="I25" s="75">
        <f>I19*Inputs!$C$6</f>
        <v>0</v>
      </c>
      <c r="J25" s="119"/>
      <c r="K25" s="73">
        <f>K19*Inputs!$C$6</f>
        <v>250.75761828671364</v>
      </c>
      <c r="L25" s="73">
        <f>L19*Inputs!$C$6</f>
        <v>0</v>
      </c>
      <c r="M25" s="75">
        <f>M19*Inputs!$C$6</f>
        <v>250.75761828671364</v>
      </c>
    </row>
    <row r="26" spans="1:13" ht="15">
      <c r="A26" s="384" t="str">
        <f>'Resid TSM Sum by Rate Schedule'!A27</f>
        <v>Annualized Meter Cost at 10.78%</v>
      </c>
      <c r="B26" s="465"/>
      <c r="C26" s="464">
        <f>C20*Inputs!$C$7</f>
        <v>116.7187778059095</v>
      </c>
      <c r="D26" s="464"/>
      <c r="E26" s="463">
        <f>E20*Inputs!$C$7</f>
        <v>116.7187778059095</v>
      </c>
      <c r="F26" s="465"/>
      <c r="G26" s="464">
        <f>G20*Inputs!$C$7</f>
        <v>0</v>
      </c>
      <c r="H26" s="464">
        <f>H20*Inputs!$C$7</f>
        <v>0</v>
      </c>
      <c r="I26" s="463">
        <f>I20*Inputs!$C$7</f>
        <v>0</v>
      </c>
      <c r="J26" s="465"/>
      <c r="K26" s="464">
        <f>K20*Inputs!$C$7</f>
        <v>116.7187778059095</v>
      </c>
      <c r="L26" s="464">
        <f>L20*Inputs!$C$7</f>
        <v>0</v>
      </c>
      <c r="M26" s="463">
        <f>M20*Inputs!$C$7</f>
        <v>116.7187778059095</v>
      </c>
    </row>
    <row r="27" spans="1:13">
      <c r="A27" s="86" t="s">
        <v>312</v>
      </c>
      <c r="B27" s="119"/>
      <c r="C27" s="73">
        <f t="shared" ref="C27:M27" si="3">SUM(C24:C26)</f>
        <v>367.47639609262313</v>
      </c>
      <c r="D27" s="73"/>
      <c r="E27" s="75">
        <f t="shared" si="3"/>
        <v>367.47639609262313</v>
      </c>
      <c r="F27" s="119"/>
      <c r="G27" s="73">
        <f t="shared" si="3"/>
        <v>0</v>
      </c>
      <c r="H27" s="73">
        <f t="shared" si="3"/>
        <v>0</v>
      </c>
      <c r="I27" s="75">
        <f t="shared" si="3"/>
        <v>0</v>
      </c>
      <c r="J27" s="119"/>
      <c r="K27" s="73">
        <f t="shared" si="3"/>
        <v>367.47639609262313</v>
      </c>
      <c r="L27" s="73">
        <f t="shared" si="3"/>
        <v>0</v>
      </c>
      <c r="M27" s="75">
        <f t="shared" si="3"/>
        <v>367.47639609262313</v>
      </c>
    </row>
    <row r="28" spans="1:13">
      <c r="A28" s="4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</row>
    <row r="29" spans="1:13">
      <c r="A29" s="36" t="s">
        <v>50</v>
      </c>
      <c r="B29" s="114"/>
      <c r="C29" s="30">
        <f>'Sch A6-TOU TSM Summary'!C$29*Inputs!$C$13</f>
        <v>144.56493907856878</v>
      </c>
      <c r="D29" s="30"/>
      <c r="E29" s="40">
        <f>'Sch A6-TOU TSM Summary'!E$29*Inputs!$C$13</f>
        <v>144.56493907856878</v>
      </c>
      <c r="F29" s="114"/>
      <c r="G29" s="30">
        <f>'Sch A6-TOU TSM Summary'!G$29*Inputs!$C$13</f>
        <v>0</v>
      </c>
      <c r="H29" s="30">
        <f>'Sch A6-TOU TSM Summary'!H$29*Inputs!$C$13</f>
        <v>0</v>
      </c>
      <c r="I29" s="40">
        <f>'Sch A6-TOU TSM Summary'!I$29*Inputs!$C$13</f>
        <v>0</v>
      </c>
      <c r="J29" s="114"/>
      <c r="K29" s="30">
        <f>'Sch A6-TOU TSM Summary'!K$29*Inputs!$C$13</f>
        <v>144.56493907856878</v>
      </c>
      <c r="L29" s="30">
        <f>'Sch A6-TOU TSM Summary'!L$29*Inputs!$C$13</f>
        <v>0</v>
      </c>
      <c r="M29" s="40">
        <f>'Sch A6-TOU TSM Summary'!M$29*Inputs!$C$13</f>
        <v>144.56493907856878</v>
      </c>
    </row>
    <row r="30" spans="1:13" ht="15">
      <c r="A30" s="36" t="s">
        <v>379</v>
      </c>
      <c r="B30" s="114"/>
      <c r="C30" s="551">
        <f>-Inputs!$C$18</f>
        <v>-3.0284021924274875</v>
      </c>
      <c r="D30" s="30"/>
      <c r="E30" s="553">
        <f>-Inputs!$C$18</f>
        <v>-3.0284021924274875</v>
      </c>
      <c r="F30" s="114"/>
      <c r="G30" s="551">
        <f>-Inputs!$C$18</f>
        <v>-3.0284021924274875</v>
      </c>
      <c r="H30" s="551">
        <f>-Inputs!$C$18</f>
        <v>-3.0284021924274875</v>
      </c>
      <c r="I30" s="553">
        <f>-Inputs!$C$18</f>
        <v>-3.0284021924274875</v>
      </c>
      <c r="J30" s="114"/>
      <c r="K30" s="551">
        <f>-Inputs!$C$18</f>
        <v>-3.0284021924274875</v>
      </c>
      <c r="L30" s="551">
        <f>-Inputs!$C$18</f>
        <v>-3.0284021924274875</v>
      </c>
      <c r="M30" s="553">
        <f>-Inputs!$C$18</f>
        <v>-3.0284021924274875</v>
      </c>
    </row>
    <row r="31" spans="1:13">
      <c r="A31" s="36" t="s">
        <v>377</v>
      </c>
      <c r="B31" s="114"/>
      <c r="C31" s="30">
        <f>C29+C30</f>
        <v>141.53653688614131</v>
      </c>
      <c r="D31" s="30"/>
      <c r="E31" s="40">
        <f>E29+E30</f>
        <v>141.53653688614131</v>
      </c>
      <c r="F31" s="114"/>
      <c r="G31" s="30">
        <f>G29+G30</f>
        <v>-3.0284021924274875</v>
      </c>
      <c r="H31" s="30">
        <f>H29+H30</f>
        <v>-3.0284021924274875</v>
      </c>
      <c r="I31" s="40">
        <f>I29+I30</f>
        <v>-3.0284021924274875</v>
      </c>
      <c r="J31" s="114"/>
      <c r="K31" s="30">
        <f>K29+K30</f>
        <v>141.53653688614131</v>
      </c>
      <c r="L31" s="30">
        <f>L29+L30</f>
        <v>-3.0284021924274875</v>
      </c>
      <c r="M31" s="40">
        <f>M29+M30</f>
        <v>141.53653688614131</v>
      </c>
    </row>
    <row r="32" spans="1:13">
      <c r="A32" s="11"/>
      <c r="B32" s="114"/>
      <c r="C32" s="30"/>
      <c r="D32" s="30"/>
      <c r="E32" s="40"/>
      <c r="F32" s="114"/>
      <c r="G32" s="30"/>
      <c r="H32" s="30"/>
      <c r="I32" s="40"/>
      <c r="J32" s="114"/>
      <c r="K32" s="30"/>
      <c r="L32" s="30"/>
      <c r="M32" s="40"/>
    </row>
    <row r="33" spans="1:13">
      <c r="A33" s="36" t="s">
        <v>57</v>
      </c>
      <c r="B33" s="114"/>
      <c r="C33" s="30">
        <f>'Sch A6-TOU TSM Summary'!C31*Inputs!$C$14</f>
        <v>481.55031066335573</v>
      </c>
      <c r="D33" s="30"/>
      <c r="E33" s="40">
        <f>'Sch A6-TOU TSM Summary'!E31*Inputs!$C$14</f>
        <v>481.55031066335573</v>
      </c>
      <c r="F33" s="114"/>
      <c r="G33" s="30">
        <f>'Sch A6-TOU TSM Summary'!G31*Inputs!$C$14</f>
        <v>0</v>
      </c>
      <c r="H33" s="30">
        <f>'Sch A6-TOU TSM Summary'!H31*Inputs!$C$14</f>
        <v>0</v>
      </c>
      <c r="I33" s="40">
        <f>'Sch A6-TOU TSM Summary'!I31*Inputs!$C$14</f>
        <v>0</v>
      </c>
      <c r="J33" s="114"/>
      <c r="K33" s="30">
        <f>'Sch A6-TOU TSM Summary'!K31*Inputs!$C$14</f>
        <v>481.55031066335573</v>
      </c>
      <c r="L33" s="30">
        <f>'Sch A6-TOU TSM Summary'!L31*Inputs!$C$14</f>
        <v>0</v>
      </c>
      <c r="M33" s="40">
        <f>'Sch A6-TOU TSM Summary'!M31*Inputs!$C$14</f>
        <v>481.55031066335573</v>
      </c>
    </row>
    <row r="34" spans="1:13" ht="13.5" thickBot="1">
      <c r="A34" s="11"/>
      <c r="B34" s="116"/>
      <c r="C34" s="87"/>
      <c r="D34" s="87"/>
      <c r="E34" s="88"/>
      <c r="F34" s="116"/>
      <c r="G34" s="87"/>
      <c r="H34" s="87"/>
      <c r="I34" s="88"/>
      <c r="J34" s="116"/>
      <c r="K34" s="87"/>
      <c r="L34" s="87"/>
      <c r="M34" s="88"/>
    </row>
    <row r="35" spans="1:13" ht="13.5" thickBot="1">
      <c r="A35" s="281" t="s">
        <v>133</v>
      </c>
      <c r="B35" s="282"/>
      <c r="C35" s="283">
        <f t="shared" ref="C35:M35" si="4">C27+C31+C33</f>
        <v>990.56324364212014</v>
      </c>
      <c r="D35" s="283"/>
      <c r="E35" s="294">
        <f t="shared" si="4"/>
        <v>990.56324364212014</v>
      </c>
      <c r="F35" s="283"/>
      <c r="G35" s="283">
        <f t="shared" si="4"/>
        <v>-3.0284021924274875</v>
      </c>
      <c r="H35" s="283">
        <f t="shared" si="4"/>
        <v>-3.0284021924274875</v>
      </c>
      <c r="I35" s="283">
        <f t="shared" si="4"/>
        <v>-3.0284021924274875</v>
      </c>
      <c r="J35" s="282"/>
      <c r="K35" s="283">
        <f t="shared" si="4"/>
        <v>990.56324364212014</v>
      </c>
      <c r="L35" s="283">
        <f t="shared" si="4"/>
        <v>-3.0284021924274875</v>
      </c>
      <c r="M35" s="294">
        <f t="shared" si="4"/>
        <v>990.56324364212014</v>
      </c>
    </row>
    <row r="36" spans="1:13">
      <c r="B36" s="18"/>
      <c r="C36" s="18"/>
      <c r="D36" s="13"/>
      <c r="E36" s="13"/>
      <c r="F36" s="13"/>
      <c r="G36" s="13"/>
      <c r="H36" s="13"/>
      <c r="I36" s="13"/>
    </row>
    <row r="38" spans="1:13">
      <c r="A38" t="s">
        <v>3</v>
      </c>
    </row>
    <row r="46" spans="1:13">
      <c r="A46" s="19"/>
    </row>
    <row r="58" spans="1:1">
      <c r="A58" s="19"/>
    </row>
  </sheetData>
  <mergeCells count="4">
    <mergeCell ref="B2:E2"/>
    <mergeCell ref="F2:I2"/>
    <mergeCell ref="J2:M2"/>
    <mergeCell ref="A1:M1"/>
  </mergeCells>
  <printOptions horizontalCentered="1"/>
  <pageMargins left="0.75" right="0.75" top="1" bottom="1" header="0.5" footer="0.5"/>
  <pageSetup scale="41" orientation="portrait" r:id="rId1"/>
  <headerFooter alignWithMargins="0">
    <oddFooter>&amp;L&amp;F
&amp;A&amp;R&amp;P of 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73">
    <tabColor rgb="FF0070C0"/>
    <pageSetUpPr fitToPage="1"/>
  </sheetPr>
  <dimension ref="A1:J56"/>
  <sheetViews>
    <sheetView topLeftCell="A9" zoomScaleNormal="100" workbookViewId="0">
      <selection activeCell="J31" sqref="J31"/>
    </sheetView>
  </sheetViews>
  <sheetFormatPr defaultRowHeight="12.75"/>
  <cols>
    <col min="1" max="1" width="40.7109375" customWidth="1"/>
    <col min="2" max="2" width="10.28515625" bestFit="1" customWidth="1"/>
    <col min="3" max="4" width="10.28515625" style="12" bestFit="1" customWidth="1"/>
    <col min="5" max="5" width="9.28515625" style="12" bestFit="1" customWidth="1"/>
    <col min="6" max="7" width="10.28515625" style="12" bestFit="1" customWidth="1"/>
    <col min="8" max="10" width="10.28515625" bestFit="1" customWidth="1"/>
  </cols>
  <sheetData>
    <row r="1" spans="1:10" ht="18.75" thickBot="1">
      <c r="A1" s="741" t="s">
        <v>197</v>
      </c>
      <c r="B1" s="741"/>
      <c r="C1" s="741"/>
      <c r="D1" s="741"/>
      <c r="E1" s="741"/>
      <c r="F1" s="741"/>
      <c r="G1" s="741"/>
      <c r="H1" s="741"/>
      <c r="I1" s="741"/>
      <c r="J1" s="741"/>
    </row>
    <row r="2" spans="1:10" ht="13.5" thickBot="1">
      <c r="A2" s="103"/>
      <c r="B2" s="743" t="s">
        <v>0</v>
      </c>
      <c r="C2" s="743"/>
      <c r="D2" s="744"/>
      <c r="E2" s="743" t="s">
        <v>1</v>
      </c>
      <c r="F2" s="743"/>
      <c r="G2" s="744"/>
      <c r="H2" s="743" t="s">
        <v>194</v>
      </c>
      <c r="I2" s="743"/>
      <c r="J2" s="744"/>
    </row>
    <row r="3" spans="1:10" ht="13.5" thickBot="1">
      <c r="A3" s="77" t="s">
        <v>47</v>
      </c>
      <c r="B3" s="450" t="s">
        <v>193</v>
      </c>
      <c r="C3" s="450" t="s">
        <v>141</v>
      </c>
      <c r="D3" s="451" t="s">
        <v>135</v>
      </c>
      <c r="E3" s="450" t="s">
        <v>193</v>
      </c>
      <c r="F3" s="450" t="s">
        <v>141</v>
      </c>
      <c r="G3" s="451" t="s">
        <v>136</v>
      </c>
      <c r="H3" s="450" t="s">
        <v>193</v>
      </c>
      <c r="I3" s="450" t="s">
        <v>141</v>
      </c>
      <c r="J3" s="451" t="s">
        <v>2</v>
      </c>
    </row>
    <row r="4" spans="1:10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0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0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0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0">
      <c r="A8" s="36" t="s">
        <v>53</v>
      </c>
      <c r="B8" s="115">
        <f>('Sch TOU-PA TSM Summary'!B8*'Sch TOU-PA Cust Fcst'!$F$39)/('Sch TOU-PA Cust Fcst'!$F$39)</f>
        <v>1633.7802047221999</v>
      </c>
      <c r="C8" s="134">
        <f>('Sch TOU-PA TSM Summary'!C8*'Sch TOU-PA Cust Fcst'!$F$40)/('Sch TOU-PA Cust Fcst'!$F$40)</f>
        <v>14168.457286169785</v>
      </c>
      <c r="D8" s="44">
        <f>('Sch TOU-PA TSM Summary'!D8*'Sch TOU-PA Cust Fcst'!$F$38)/('Sch TOU-PA Cust Fcst'!$F$38)</f>
        <v>5812.005898538061</v>
      </c>
      <c r="E8" s="115"/>
      <c r="F8" s="134"/>
      <c r="G8" s="44"/>
      <c r="H8" s="115">
        <f>('Sch TOU-PA TSM Summary'!H8*'Sch TOU-PA Cust Fcst'!$H$39)/('Sch TOU-PA Cust Fcst'!$H$39)</f>
        <v>1633.7802047221999</v>
      </c>
      <c r="I8" s="134">
        <f>('Sch TOU-PA TSM Summary'!I8*'Sch TOU-PA Cust Fcst'!$H$40)/('Sch TOU-PA Cust Fcst'!$H$40)</f>
        <v>14168.457286169785</v>
      </c>
      <c r="J8" s="44">
        <f>('Sch TOU-PA TSM Summary'!J8*'Sch TOU-PA Cust Fcst'!$H$38)/('Sch TOU-PA Cust Fcst'!$H$38)</f>
        <v>5812.005898538061</v>
      </c>
    </row>
    <row r="9" spans="1:10">
      <c r="A9" s="36" t="s">
        <v>51</v>
      </c>
      <c r="B9" s="115">
        <f>('Sch TOU-PA TSM Summary'!B9*'Sch TOU-PA Cust Fcst'!$F$39)/('Sch TOU-PA Cust Fcst'!$F$39)</f>
        <v>664.05612210759307</v>
      </c>
      <c r="C9" s="134">
        <f>('Sch TOU-PA TSM Summary'!C9*'Sch TOU-PA Cust Fcst'!$F$40)/('Sch TOU-PA Cust Fcst'!$F$40)</f>
        <v>3881.3806159244828</v>
      </c>
      <c r="D9" s="44">
        <f>('Sch TOU-PA TSM Summary'!D9*'Sch TOU-PA Cust Fcst'!$F$38)/('Sch TOU-PA Cust Fcst'!$F$38)</f>
        <v>1736.4976200465562</v>
      </c>
      <c r="E9" s="115"/>
      <c r="F9" s="134"/>
      <c r="G9" s="44"/>
      <c r="H9" s="115">
        <f>('Sch TOU-PA TSM Summary'!H9*'Sch TOU-PA Cust Fcst'!$H$39)/('Sch TOU-PA Cust Fcst'!$H$39)</f>
        <v>664.05612210759307</v>
      </c>
      <c r="I9" s="134">
        <f>('Sch TOU-PA TSM Summary'!I9*'Sch TOU-PA Cust Fcst'!$H$40)/('Sch TOU-PA Cust Fcst'!$H$40)</f>
        <v>3881.3806159244828</v>
      </c>
      <c r="J9" s="44">
        <f>('Sch TOU-PA TSM Summary'!J9*'Sch TOU-PA Cust Fcst'!$H$38)/('Sch TOU-PA Cust Fcst'!$H$38)</f>
        <v>1736.4976200465562</v>
      </c>
    </row>
    <row r="10" spans="1:10">
      <c r="A10" s="36" t="s">
        <v>52</v>
      </c>
      <c r="B10" s="115">
        <f>('Sch TOU-PA TSM Summary'!B10*'Sch TOU-PA Cust Fcst'!$F$39)/('Sch TOU-PA Cust Fcst'!$F$39)</f>
        <v>297.01685728884092</v>
      </c>
      <c r="C10" s="134">
        <f>('Sch TOU-PA TSM Summary'!C10*'Sch TOU-PA Cust Fcst'!$F$40)/('Sch TOU-PA Cust Fcst'!$F$40)</f>
        <v>855.2930770275243</v>
      </c>
      <c r="D10" s="44">
        <f>('Sch TOU-PA TSM Summary'!D10*'Sch TOU-PA Cust Fcst'!$F$38)/('Sch TOU-PA Cust Fcst'!$F$38)</f>
        <v>483.10893053506874</v>
      </c>
      <c r="E10" s="115"/>
      <c r="F10" s="134"/>
      <c r="G10" s="44"/>
      <c r="H10" s="115">
        <f>('Sch TOU-PA TSM Summary'!H10*'Sch TOU-PA Cust Fcst'!$H$39)/('Sch TOU-PA Cust Fcst'!$H$39)</f>
        <v>297.01685728884092</v>
      </c>
      <c r="I10" s="134">
        <f>('Sch TOU-PA TSM Summary'!I10*'Sch TOU-PA Cust Fcst'!$H$40)/('Sch TOU-PA Cust Fcst'!$H$40)</f>
        <v>855.2930770275243</v>
      </c>
      <c r="J10" s="44">
        <f>('Sch TOU-PA TSM Summary'!J10*'Sch TOU-PA Cust Fcst'!$H$38)/('Sch TOU-PA Cust Fcst'!$H$38)</f>
        <v>483.10893053506874</v>
      </c>
    </row>
    <row r="11" spans="1:10">
      <c r="A11" s="38"/>
      <c r="B11" s="114"/>
      <c r="C11" s="30"/>
      <c r="D11" s="40"/>
      <c r="E11" s="114"/>
      <c r="F11" s="30"/>
      <c r="G11" s="40"/>
      <c r="H11" s="114"/>
      <c r="I11" s="30"/>
      <c r="J11" s="40"/>
    </row>
    <row r="12" spans="1:10">
      <c r="A12" s="36" t="s">
        <v>35</v>
      </c>
      <c r="B12" s="114">
        <f t="shared" ref="B12:J12" si="0">SUM(B8:B10)</f>
        <v>2594.8531841186341</v>
      </c>
      <c r="C12" s="30">
        <f t="shared" si="0"/>
        <v>18905.13097912179</v>
      </c>
      <c r="D12" s="40">
        <f t="shared" si="0"/>
        <v>8031.6124491196861</v>
      </c>
      <c r="E12" s="114"/>
      <c r="F12" s="30"/>
      <c r="G12" s="40"/>
      <c r="H12" s="114">
        <f t="shared" si="0"/>
        <v>2594.8531841186341</v>
      </c>
      <c r="I12" s="30">
        <f t="shared" si="0"/>
        <v>18905.13097912179</v>
      </c>
      <c r="J12" s="40">
        <f t="shared" si="0"/>
        <v>8031.6124491196861</v>
      </c>
    </row>
    <row r="13" spans="1:10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0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0">
      <c r="A15" s="47">
        <f>Inputs!C3</f>
        <v>2.7723662892949787E-2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0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0">
      <c r="A17" s="47">
        <f>Inputs!C4</f>
        <v>1.5023E-2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0">
      <c r="A18" s="94" t="s">
        <v>97</v>
      </c>
      <c r="B18" s="114">
        <f t="shared" ref="B18:J20" si="1">(B8*(1+$A$15)*(1+$A$17))</f>
        <v>1704.2993137197352</v>
      </c>
      <c r="C18" s="30">
        <f t="shared" si="1"/>
        <v>14780.012610932839</v>
      </c>
      <c r="D18" s="40">
        <f t="shared" si="1"/>
        <v>6062.8704127907695</v>
      </c>
      <c r="E18" s="114"/>
      <c r="F18" s="30"/>
      <c r="G18" s="40"/>
      <c r="H18" s="114">
        <f t="shared" si="1"/>
        <v>1704.2993137197352</v>
      </c>
      <c r="I18" s="30">
        <f t="shared" si="1"/>
        <v>14780.012610932839</v>
      </c>
      <c r="J18" s="40">
        <f t="shared" si="1"/>
        <v>6062.8704127907695</v>
      </c>
    </row>
    <row r="19" spans="1:10">
      <c r="A19" s="94" t="s">
        <v>51</v>
      </c>
      <c r="B19" s="114">
        <f t="shared" si="1"/>
        <v>692.71887975396123</v>
      </c>
      <c r="C19" s="30">
        <f t="shared" si="1"/>
        <v>4048.9132509289821</v>
      </c>
      <c r="D19" s="40">
        <f t="shared" si="1"/>
        <v>1811.4503368123012</v>
      </c>
      <c r="E19" s="114"/>
      <c r="F19" s="30"/>
      <c r="G19" s="40"/>
      <c r="H19" s="114">
        <f t="shared" si="1"/>
        <v>692.71887975396123</v>
      </c>
      <c r="I19" s="30">
        <f t="shared" si="1"/>
        <v>4048.9132509289821</v>
      </c>
      <c r="J19" s="40">
        <f t="shared" si="1"/>
        <v>1811.4503368123012</v>
      </c>
    </row>
    <row r="20" spans="1:10">
      <c r="A20" s="94" t="s">
        <v>52</v>
      </c>
      <c r="B20" s="114">
        <f t="shared" si="1"/>
        <v>309.83704208035556</v>
      </c>
      <c r="C20" s="30">
        <f t="shared" si="1"/>
        <v>892.2102250927361</v>
      </c>
      <c r="D20" s="40">
        <f t="shared" si="1"/>
        <v>503.96143641781578</v>
      </c>
      <c r="E20" s="114"/>
      <c r="F20" s="30"/>
      <c r="G20" s="40"/>
      <c r="H20" s="114">
        <f t="shared" si="1"/>
        <v>309.83704208035556</v>
      </c>
      <c r="I20" s="30">
        <f t="shared" si="1"/>
        <v>892.2102250927361</v>
      </c>
      <c r="J20" s="40">
        <f t="shared" si="1"/>
        <v>503.96143641781578</v>
      </c>
    </row>
    <row r="21" spans="1:10">
      <c r="A21" s="36"/>
      <c r="B21" s="119"/>
      <c r="C21" s="73"/>
      <c r="D21" s="75"/>
      <c r="E21" s="119"/>
      <c r="F21" s="73"/>
      <c r="G21" s="75"/>
      <c r="H21" s="119"/>
      <c r="I21" s="73"/>
      <c r="J21" s="75"/>
    </row>
    <row r="22" spans="1:10">
      <c r="A22" s="36" t="s">
        <v>35</v>
      </c>
      <c r="B22" s="119">
        <f t="shared" ref="B22:J22" si="2">B18+B19+B20</f>
        <v>2706.8552355540523</v>
      </c>
      <c r="C22" s="73">
        <f t="shared" si="2"/>
        <v>19721.136086954557</v>
      </c>
      <c r="D22" s="75">
        <f t="shared" si="2"/>
        <v>8378.282186020886</v>
      </c>
      <c r="E22" s="119"/>
      <c r="F22" s="73"/>
      <c r="G22" s="75"/>
      <c r="H22" s="119">
        <f t="shared" si="2"/>
        <v>2706.8552355540523</v>
      </c>
      <c r="I22" s="73">
        <f t="shared" si="2"/>
        <v>19721.136086954557</v>
      </c>
      <c r="J22" s="75">
        <f t="shared" si="2"/>
        <v>8378.282186020886</v>
      </c>
    </row>
    <row r="23" spans="1:10">
      <c r="A23" s="36"/>
      <c r="B23" s="114"/>
      <c r="C23" s="30"/>
      <c r="D23" s="40"/>
      <c r="E23" s="114"/>
      <c r="F23" s="30"/>
      <c r="G23" s="40"/>
      <c r="H23" s="114"/>
      <c r="I23" s="30"/>
      <c r="J23" s="40"/>
    </row>
    <row r="24" spans="1:10">
      <c r="A24" s="94" t="str">
        <f>'Resid TSM Sum by Rate Schedule'!A25</f>
        <v>Annualized Transformer Cost at 8.05%</v>
      </c>
      <c r="B24" s="119">
        <f>B18*Inputs!$C$5</f>
        <v>137.15972932497672</v>
      </c>
      <c r="C24" s="73">
        <f>C18*Inputs!$C$5</f>
        <v>1189.4756471565761</v>
      </c>
      <c r="D24" s="75">
        <f>D18*Inputs!$C$5</f>
        <v>487.93170193550981</v>
      </c>
      <c r="E24" s="119"/>
      <c r="F24" s="73"/>
      <c r="G24" s="75"/>
      <c r="H24" s="119">
        <f>H18*Inputs!$C$5</f>
        <v>137.15972932497672</v>
      </c>
      <c r="I24" s="73">
        <f>I18*Inputs!$C$5</f>
        <v>1189.4756471565761</v>
      </c>
      <c r="J24" s="75">
        <f>J18*Inputs!$C$5</f>
        <v>487.93170193550981</v>
      </c>
    </row>
    <row r="25" spans="1:10">
      <c r="A25" s="94" t="str">
        <f>'Resid TSM Sum by Rate Schedule'!A26</f>
        <v>Annualized Services Cost at 7.08%</v>
      </c>
      <c r="B25" s="119">
        <f>B19*Inputs!$C$6</f>
        <v>49.027220237357895</v>
      </c>
      <c r="C25" s="73">
        <f>C19*Inputs!$C$6</f>
        <v>286.56207803338248</v>
      </c>
      <c r="D25" s="75">
        <f>D19*Inputs!$C$6</f>
        <v>128.20550616936606</v>
      </c>
      <c r="E25" s="119"/>
      <c r="F25" s="73"/>
      <c r="G25" s="75"/>
      <c r="H25" s="119">
        <f>H19*Inputs!$C$6</f>
        <v>49.027220237357895</v>
      </c>
      <c r="I25" s="73">
        <f>I19*Inputs!$C$6</f>
        <v>286.56207803338248</v>
      </c>
      <c r="J25" s="75">
        <f>J19*Inputs!$C$6</f>
        <v>128.20550616936606</v>
      </c>
    </row>
    <row r="26" spans="1:10" ht="15">
      <c r="A26" s="94" t="str">
        <f>'Resid TSM Sum by Rate Schedule'!A27</f>
        <v>Annualized Meter Cost at 10.78%</v>
      </c>
      <c r="B26" s="465">
        <f>B20*Inputs!$C$7</f>
        <v>33.390037901018957</v>
      </c>
      <c r="C26" s="464">
        <f>C20*Inputs!$C$7</f>
        <v>96.150328028876871</v>
      </c>
      <c r="D26" s="463">
        <f>D20*Inputs!$C$7</f>
        <v>54.310134610304935</v>
      </c>
      <c r="E26" s="465"/>
      <c r="F26" s="464"/>
      <c r="G26" s="463"/>
      <c r="H26" s="465">
        <f>H20*Inputs!$C$7</f>
        <v>33.390037901018957</v>
      </c>
      <c r="I26" s="464">
        <f>I20*Inputs!$C$7</f>
        <v>96.150328028876871</v>
      </c>
      <c r="J26" s="463">
        <f>J20*Inputs!$C$7</f>
        <v>54.310134610304935</v>
      </c>
    </row>
    <row r="27" spans="1:10">
      <c r="A27" s="86" t="s">
        <v>312</v>
      </c>
      <c r="B27" s="119">
        <f>SUM(B24:B26)</f>
        <v>219.57698746335359</v>
      </c>
      <c r="C27" s="73">
        <f t="shared" ref="C27:J27" si="3">SUM(C24:C26)</f>
        <v>1572.1880532188354</v>
      </c>
      <c r="D27" s="75">
        <f t="shared" si="3"/>
        <v>670.44734271518075</v>
      </c>
      <c r="E27" s="119"/>
      <c r="F27" s="73"/>
      <c r="G27" s="75"/>
      <c r="H27" s="119">
        <f t="shared" si="3"/>
        <v>219.57698746335359</v>
      </c>
      <c r="I27" s="73">
        <f t="shared" si="3"/>
        <v>1572.1880532188354</v>
      </c>
      <c r="J27" s="75">
        <f t="shared" si="3"/>
        <v>670.44734271518075</v>
      </c>
    </row>
    <row r="28" spans="1:10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0">
      <c r="A29" s="36" t="s">
        <v>50</v>
      </c>
      <c r="B29" s="115">
        <f>('Sch TOU-PA TSM Summary'!B29*'Sch TOU-PA Cust Fcst'!$F$39)/('Sch TOU-PA Cust Fcst'!$F$39)</f>
        <v>269.67252291851912</v>
      </c>
      <c r="C29" s="134">
        <f>('Sch TOU-PA TSM Summary'!C29*'Sch TOU-PA Cust Fcst'!$F$40)/('Sch TOU-PA Cust Fcst'!$F$40)</f>
        <v>269.67252291851912</v>
      </c>
      <c r="D29" s="44">
        <f>('Sch TOU-PA TSM Summary'!D29*'Sch TOU-PA Cust Fcst'!$F$38)/('Sch TOU-PA Cust Fcst'!$F$38)</f>
        <v>269.67252291851912</v>
      </c>
      <c r="E29" s="115"/>
      <c r="F29" s="134"/>
      <c r="G29" s="44"/>
      <c r="H29" s="115">
        <f>('Sch TOU-PA TSM Summary'!H29*'Sch TOU-PA Cust Fcst'!$H$39)/('Sch TOU-PA Cust Fcst'!$H$39)</f>
        <v>269.67252291851912</v>
      </c>
      <c r="I29" s="134">
        <f>('Sch TOU-PA TSM Summary'!I29*'Sch TOU-PA Cust Fcst'!$H$40)/('Sch TOU-PA Cust Fcst'!$H$40)</f>
        <v>269.67252291851912</v>
      </c>
      <c r="J29" s="44">
        <f>('Sch TOU-PA TSM Summary'!J29*'Sch TOU-PA Cust Fcst'!$H$38)/('Sch TOU-PA Cust Fcst'!$H$38)</f>
        <v>269.67252291851912</v>
      </c>
    </row>
    <row r="30" spans="1:10">
      <c r="A30" s="11"/>
      <c r="B30" s="114"/>
      <c r="C30" s="30"/>
      <c r="D30" s="40"/>
      <c r="E30" s="114"/>
      <c r="F30" s="30"/>
      <c r="G30" s="40"/>
      <c r="H30" s="114"/>
      <c r="I30" s="30"/>
      <c r="J30" s="40"/>
    </row>
    <row r="31" spans="1:10">
      <c r="A31" s="36" t="s">
        <v>57</v>
      </c>
      <c r="B31" s="115">
        <f>('Sch TOU-PA TSM Summary'!B31*'Sch TOU-PA Cust Fcst'!$F$39)/('Sch TOU-PA Cust Fcst'!$F$39)</f>
        <v>148.85601320389145</v>
      </c>
      <c r="C31" s="134">
        <f>('Sch TOU-PA TSM Summary'!C31*'Sch TOU-PA Cust Fcst'!$F$40)/('Sch TOU-PA Cust Fcst'!$F$40)</f>
        <v>148.85601320389145</v>
      </c>
      <c r="D31" s="44">
        <f>('Sch TOU-PA TSM Summary'!D31*'Sch TOU-PA Cust Fcst'!$F$38)/('Sch TOU-PA Cust Fcst'!$F$38)</f>
        <v>148.85601320389145</v>
      </c>
      <c r="E31" s="115"/>
      <c r="F31" s="134"/>
      <c r="G31" s="44"/>
      <c r="H31" s="115">
        <f>('Sch TOU-PA TSM Summary'!H31*'Sch TOU-PA Cust Fcst'!$H$39)/('Sch TOU-PA Cust Fcst'!$H$39)</f>
        <v>148.85601320389145</v>
      </c>
      <c r="I31" s="134">
        <f>('Sch TOU-PA TSM Summary'!I31*'Sch TOU-PA Cust Fcst'!$H$40)/('Sch TOU-PA Cust Fcst'!$H$40)</f>
        <v>148.85601320389145</v>
      </c>
      <c r="J31" s="44">
        <f>('Sch TOU-PA TSM Summary'!J31*'Sch TOU-PA Cust Fcst'!$H$38)/('Sch TOU-PA Cust Fcst'!$H$38)</f>
        <v>148.85601320389145</v>
      </c>
    </row>
    <row r="32" spans="1:10" ht="13.5" thickBot="1">
      <c r="A32" s="15"/>
      <c r="B32" s="116"/>
      <c r="C32" s="87"/>
      <c r="D32" s="88"/>
      <c r="E32" s="116"/>
      <c r="F32" s="87"/>
      <c r="G32" s="88"/>
      <c r="H32" s="116"/>
      <c r="I32" s="87"/>
      <c r="J32" s="88"/>
    </row>
    <row r="33" spans="1:10" ht="13.5" thickBot="1">
      <c r="A33" s="281" t="s">
        <v>133</v>
      </c>
      <c r="B33" s="282">
        <f t="shared" ref="B33:J33" si="4">B27+B29+B31</f>
        <v>638.1055235857641</v>
      </c>
      <c r="C33" s="283">
        <f t="shared" si="4"/>
        <v>1990.7165893412462</v>
      </c>
      <c r="D33" s="294">
        <f t="shared" si="4"/>
        <v>1088.9758788375914</v>
      </c>
      <c r="E33" s="282"/>
      <c r="F33" s="283"/>
      <c r="G33" s="283"/>
      <c r="H33" s="282">
        <f t="shared" si="4"/>
        <v>638.1055235857641</v>
      </c>
      <c r="I33" s="283">
        <f t="shared" si="4"/>
        <v>1990.7165893412462</v>
      </c>
      <c r="J33" s="294">
        <f t="shared" si="4"/>
        <v>1088.9758788375914</v>
      </c>
    </row>
    <row r="34" spans="1:10">
      <c r="B34" s="18"/>
      <c r="C34" s="13"/>
      <c r="D34" s="13"/>
      <c r="E34" s="13"/>
      <c r="F34" s="13"/>
      <c r="G34" s="13"/>
    </row>
    <row r="36" spans="1:10">
      <c r="A36" t="s">
        <v>3</v>
      </c>
    </row>
    <row r="44" spans="1:10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Sheet71">
    <tabColor rgb="FF0070C0"/>
    <pageSetUpPr fitToPage="1"/>
  </sheetPr>
  <dimension ref="A1:J58"/>
  <sheetViews>
    <sheetView topLeftCell="A3" zoomScaleNormal="100" workbookViewId="0">
      <selection activeCell="E8" sqref="E8:G35"/>
    </sheetView>
  </sheetViews>
  <sheetFormatPr defaultRowHeight="12.75"/>
  <cols>
    <col min="1" max="1" width="40.85546875" customWidth="1"/>
    <col min="2" max="2" width="10.28515625" bestFit="1" customWidth="1"/>
    <col min="3" max="4" width="10.28515625" style="12" bestFit="1" customWidth="1"/>
    <col min="5" max="5" width="9.28515625" style="12" bestFit="1" customWidth="1"/>
    <col min="6" max="7" width="10.28515625" style="12" bestFit="1" customWidth="1"/>
    <col min="8" max="10" width="10.28515625" bestFit="1" customWidth="1"/>
  </cols>
  <sheetData>
    <row r="1" spans="1:10" ht="18.75" thickBot="1">
      <c r="A1" s="741" t="s">
        <v>361</v>
      </c>
      <c r="B1" s="741"/>
      <c r="C1" s="741"/>
      <c r="D1" s="741"/>
      <c r="E1" s="741"/>
      <c r="F1" s="741"/>
      <c r="G1" s="741"/>
      <c r="H1" s="741"/>
      <c r="I1" s="741"/>
      <c r="J1" s="741"/>
    </row>
    <row r="2" spans="1:10" ht="13.5" thickBot="1">
      <c r="A2" s="103"/>
      <c r="B2" s="743" t="s">
        <v>0</v>
      </c>
      <c r="C2" s="743"/>
      <c r="D2" s="744"/>
      <c r="E2" s="743" t="s">
        <v>1</v>
      </c>
      <c r="F2" s="743"/>
      <c r="G2" s="744"/>
      <c r="H2" s="743" t="s">
        <v>194</v>
      </c>
      <c r="I2" s="743"/>
      <c r="J2" s="744"/>
    </row>
    <row r="3" spans="1:10" ht="13.5" thickBot="1">
      <c r="A3" s="77" t="s">
        <v>47</v>
      </c>
      <c r="B3" s="450" t="s">
        <v>193</v>
      </c>
      <c r="C3" s="450" t="s">
        <v>141</v>
      </c>
      <c r="D3" s="451" t="s">
        <v>135</v>
      </c>
      <c r="E3" s="450" t="s">
        <v>193</v>
      </c>
      <c r="F3" s="450" t="s">
        <v>141</v>
      </c>
      <c r="G3" s="451" t="s">
        <v>136</v>
      </c>
      <c r="H3" s="450" t="s">
        <v>193</v>
      </c>
      <c r="I3" s="450" t="s">
        <v>141</v>
      </c>
      <c r="J3" s="451" t="s">
        <v>2</v>
      </c>
    </row>
    <row r="4" spans="1:10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0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0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0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0">
      <c r="A8" s="36" t="s">
        <v>53</v>
      </c>
      <c r="B8" s="115">
        <f>'Agric TSM Summary'!B8*Inputs!$C$12</f>
        <v>1772.8868910248852</v>
      </c>
      <c r="C8" s="134">
        <f>'Agric TSM Summary'!C8*Inputs!$C$12</f>
        <v>15374.817320036975</v>
      </c>
      <c r="D8" s="44">
        <f>'Agric TSM Summary'!D8*Inputs!$C$12</f>
        <v>6306.8637006955814</v>
      </c>
      <c r="E8" s="115"/>
      <c r="F8" s="134"/>
      <c r="G8" s="44"/>
      <c r="H8" s="115">
        <f>'Agric TSM Summary'!H8*Inputs!$C$12</f>
        <v>1772.8868910248852</v>
      </c>
      <c r="I8" s="134">
        <f>'Agric TSM Summary'!I8*Inputs!$C$12</f>
        <v>15374.817320036975</v>
      </c>
      <c r="J8" s="44">
        <f>'Agric TSM Summary'!J8*Inputs!$C$12</f>
        <v>6306.8637006955814</v>
      </c>
    </row>
    <row r="9" spans="1:10">
      <c r="A9" s="36" t="s">
        <v>51</v>
      </c>
      <c r="B9" s="115">
        <f>'Agric TSM Summary'!B9*Inputs!$C$12</f>
        <v>720.5965590638026</v>
      </c>
      <c r="C9" s="134">
        <f>'Agric TSM Summary'!C9*Inputs!$C$12</f>
        <v>4211.8571354710866</v>
      </c>
      <c r="D9" s="44">
        <f>'Agric TSM Summary'!D9*Inputs!$C$12</f>
        <v>1884.3500845328972</v>
      </c>
      <c r="E9" s="115"/>
      <c r="F9" s="134"/>
      <c r="G9" s="44"/>
      <c r="H9" s="115">
        <f>'Agric TSM Summary'!H9*Inputs!$C$12</f>
        <v>720.5965590638026</v>
      </c>
      <c r="I9" s="134">
        <f>'Agric TSM Summary'!I9*Inputs!$C$12</f>
        <v>4211.8571354710866</v>
      </c>
      <c r="J9" s="44">
        <f>'Agric TSM Summary'!J9*Inputs!$C$12</f>
        <v>1884.3500845328972</v>
      </c>
    </row>
    <row r="10" spans="1:10">
      <c r="A10" s="36" t="s">
        <v>52</v>
      </c>
      <c r="B10" s="115">
        <f>'Agric TSM Summary'!B10*Inputs!$C$12</f>
        <v>322.30607959308202</v>
      </c>
      <c r="C10" s="134">
        <f>'Agric TSM Summary'!C10*Inputs!$C$12</f>
        <v>928.11620551141766</v>
      </c>
      <c r="D10" s="44">
        <f>'Agric TSM Summary'!D10*Inputs!$C$12</f>
        <v>524.24278823252723</v>
      </c>
      <c r="E10" s="115"/>
      <c r="F10" s="134"/>
      <c r="G10" s="44"/>
      <c r="H10" s="115">
        <f>'Agric TSM Summary'!H10*Inputs!$C$12</f>
        <v>322.30607959308202</v>
      </c>
      <c r="I10" s="134">
        <f>'Agric TSM Summary'!I10*Inputs!$C$12</f>
        <v>928.11620551141766</v>
      </c>
      <c r="J10" s="44">
        <f>'Agric TSM Summary'!J10*Inputs!$C$12</f>
        <v>524.24278823252723</v>
      </c>
    </row>
    <row r="11" spans="1:10">
      <c r="A11" s="38"/>
      <c r="B11" s="114"/>
      <c r="C11" s="30"/>
      <c r="D11" s="40"/>
      <c r="E11" s="114"/>
      <c r="F11" s="30"/>
      <c r="G11" s="40"/>
      <c r="H11" s="114"/>
      <c r="I11" s="30"/>
      <c r="J11" s="40"/>
    </row>
    <row r="12" spans="1:10">
      <c r="A12" s="36" t="s">
        <v>35</v>
      </c>
      <c r="B12" s="114">
        <f>SUM(B8:B10)</f>
        <v>2815.7895296817696</v>
      </c>
      <c r="C12" s="30">
        <f t="shared" ref="C12:J12" si="0">SUM(C8:C10)</f>
        <v>20514.79066101948</v>
      </c>
      <c r="D12" s="40">
        <f t="shared" si="0"/>
        <v>8715.456573461006</v>
      </c>
      <c r="E12" s="114"/>
      <c r="F12" s="30"/>
      <c r="G12" s="40"/>
      <c r="H12" s="114">
        <f t="shared" si="0"/>
        <v>2815.7895296817696</v>
      </c>
      <c r="I12" s="30">
        <f t="shared" si="0"/>
        <v>20514.79066101948</v>
      </c>
      <c r="J12" s="40">
        <f t="shared" si="0"/>
        <v>8715.456573461006</v>
      </c>
    </row>
    <row r="13" spans="1:10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0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0">
      <c r="A15" s="47">
        <f>Inputs!C3</f>
        <v>2.7723662892949787E-2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0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0">
      <c r="A17" s="47">
        <f>Inputs!C4</f>
        <v>1.5023E-2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0">
      <c r="A18" s="94" t="s">
        <v>97</v>
      </c>
      <c r="B18" s="114">
        <f t="shared" ref="B18:J20" si="1">(B8*(1+$A$15)*(1+$A$17))</f>
        <v>1849.4102835516933</v>
      </c>
      <c r="C18" s="30">
        <f t="shared" si="1"/>
        <v>16038.442950507408</v>
      </c>
      <c r="D18" s="40">
        <f t="shared" si="1"/>
        <v>6579.0878392035975</v>
      </c>
      <c r="E18" s="114"/>
      <c r="F18" s="30"/>
      <c r="G18" s="40"/>
      <c r="H18" s="114">
        <f t="shared" si="1"/>
        <v>1849.4102835516933</v>
      </c>
      <c r="I18" s="30">
        <f t="shared" si="1"/>
        <v>16038.442950507408</v>
      </c>
      <c r="J18" s="40">
        <f t="shared" si="1"/>
        <v>6579.0878392035975</v>
      </c>
    </row>
    <row r="19" spans="1:10">
      <c r="A19" s="94" t="s">
        <v>51</v>
      </c>
      <c r="B19" s="114">
        <f t="shared" si="1"/>
        <v>751.69978038145211</v>
      </c>
      <c r="C19" s="30">
        <f t="shared" si="1"/>
        <v>4393.6541798714597</v>
      </c>
      <c r="D19" s="40">
        <f t="shared" si="1"/>
        <v>1965.6845802114547</v>
      </c>
      <c r="E19" s="114"/>
      <c r="F19" s="30"/>
      <c r="G19" s="40"/>
      <c r="H19" s="114">
        <f t="shared" si="1"/>
        <v>751.69978038145211</v>
      </c>
      <c r="I19" s="30">
        <f t="shared" si="1"/>
        <v>4393.6541798714597</v>
      </c>
      <c r="J19" s="40">
        <f t="shared" si="1"/>
        <v>1965.6845802114547</v>
      </c>
    </row>
    <row r="20" spans="1:10">
      <c r="A20" s="94" t="s">
        <v>52</v>
      </c>
      <c r="B20" s="114">
        <f t="shared" si="1"/>
        <v>336.21782701889788</v>
      </c>
      <c r="C20" s="30">
        <f t="shared" si="1"/>
        <v>968.17662959396273</v>
      </c>
      <c r="D20" s="40">
        <f t="shared" si="1"/>
        <v>546.87076121058612</v>
      </c>
      <c r="E20" s="114"/>
      <c r="F20" s="30"/>
      <c r="G20" s="40"/>
      <c r="H20" s="114">
        <f t="shared" si="1"/>
        <v>336.21782701889788</v>
      </c>
      <c r="I20" s="30">
        <f t="shared" si="1"/>
        <v>968.17662959396273</v>
      </c>
      <c r="J20" s="40">
        <f t="shared" si="1"/>
        <v>546.87076121058612</v>
      </c>
    </row>
    <row r="21" spans="1:10">
      <c r="A21" s="36"/>
      <c r="B21" s="119"/>
      <c r="C21" s="73"/>
      <c r="D21" s="75"/>
      <c r="E21" s="119"/>
      <c r="F21" s="73"/>
      <c r="G21" s="75"/>
      <c r="H21" s="119"/>
      <c r="I21" s="73"/>
      <c r="J21" s="75"/>
    </row>
    <row r="22" spans="1:10">
      <c r="A22" s="36" t="s">
        <v>35</v>
      </c>
      <c r="B22" s="119">
        <f>B18+B19+B20</f>
        <v>2937.3278909520432</v>
      </c>
      <c r="C22" s="73">
        <f t="shared" ref="C22:J22" si="2">C18+C19+C20</f>
        <v>21400.273759972832</v>
      </c>
      <c r="D22" s="75">
        <f t="shared" si="2"/>
        <v>9091.6431806256387</v>
      </c>
      <c r="E22" s="119"/>
      <c r="F22" s="73"/>
      <c r="G22" s="75"/>
      <c r="H22" s="119">
        <f t="shared" si="2"/>
        <v>2937.3278909520432</v>
      </c>
      <c r="I22" s="73">
        <f t="shared" si="2"/>
        <v>21400.273759972832</v>
      </c>
      <c r="J22" s="75">
        <f t="shared" si="2"/>
        <v>9091.6431806256387</v>
      </c>
    </row>
    <row r="23" spans="1:10">
      <c r="A23" s="36"/>
      <c r="B23" s="114"/>
      <c r="C23" s="30"/>
      <c r="D23" s="40"/>
      <c r="E23" s="114"/>
      <c r="F23" s="30"/>
      <c r="G23" s="40"/>
      <c r="H23" s="114"/>
      <c r="I23" s="30"/>
      <c r="J23" s="40"/>
    </row>
    <row r="24" spans="1:10">
      <c r="A24" s="94" t="str">
        <f>'Resid TSM Sum by Rate Schedule'!A25</f>
        <v>Annualized Transformer Cost at 8.05%</v>
      </c>
      <c r="B24" s="119">
        <f>B18*Inputs!$C$5</f>
        <v>148.83806609599606</v>
      </c>
      <c r="C24" s="73">
        <f>C18*Inputs!$C$5</f>
        <v>1290.7524377771529</v>
      </c>
      <c r="D24" s="75">
        <f>D18*Inputs!$C$5</f>
        <v>529.47618998971495</v>
      </c>
      <c r="E24" s="119"/>
      <c r="F24" s="73"/>
      <c r="G24" s="75"/>
      <c r="H24" s="119">
        <f>H18*Inputs!$C$5</f>
        <v>148.83806609599606</v>
      </c>
      <c r="I24" s="73">
        <f>I18*Inputs!$C$5</f>
        <v>1290.7524377771529</v>
      </c>
      <c r="J24" s="75">
        <f>J18*Inputs!$C$5</f>
        <v>529.47618998971495</v>
      </c>
    </row>
    <row r="25" spans="1:10">
      <c r="A25" s="94" t="str">
        <f>'Resid TSM Sum by Rate Schedule'!A26</f>
        <v>Annualized Services Cost at 7.08%</v>
      </c>
      <c r="B25" s="119">
        <f>B19*Inputs!$C$6</f>
        <v>53.201597014686058</v>
      </c>
      <c r="C25" s="73">
        <f>C19*Inputs!$C$6</f>
        <v>310.96113794365561</v>
      </c>
      <c r="D25" s="75">
        <f>D19*Inputs!$C$6</f>
        <v>139.12144399100924</v>
      </c>
      <c r="E25" s="119"/>
      <c r="F25" s="73"/>
      <c r="G25" s="75"/>
      <c r="H25" s="119">
        <f>H19*Inputs!$C$6</f>
        <v>53.201597014686058</v>
      </c>
      <c r="I25" s="73">
        <f>I19*Inputs!$C$6</f>
        <v>310.96113794365561</v>
      </c>
      <c r="J25" s="75">
        <f>J19*Inputs!$C$6</f>
        <v>139.12144399100924</v>
      </c>
    </row>
    <row r="26" spans="1:10" ht="15">
      <c r="A26" s="94" t="str">
        <f>'Resid TSM Sum by Rate Schedule'!A27</f>
        <v>Annualized Meter Cost at 10.78%</v>
      </c>
      <c r="B26" s="465">
        <f>B20*Inputs!$C$7</f>
        <v>36.23300142481903</v>
      </c>
      <c r="C26" s="464">
        <f>C20*Inputs!$C$7</f>
        <v>104.3369577115933</v>
      </c>
      <c r="D26" s="463">
        <f>D20*Inputs!$C$7</f>
        <v>58.934320187077113</v>
      </c>
      <c r="E26" s="465"/>
      <c r="F26" s="464"/>
      <c r="G26" s="463"/>
      <c r="H26" s="465">
        <f>H20*Inputs!$C$7</f>
        <v>36.23300142481903</v>
      </c>
      <c r="I26" s="464">
        <f>I20*Inputs!$C$7</f>
        <v>104.3369577115933</v>
      </c>
      <c r="J26" s="463">
        <f>J20*Inputs!$C$7</f>
        <v>58.934320187077113</v>
      </c>
    </row>
    <row r="27" spans="1:10">
      <c r="A27" s="86" t="s">
        <v>312</v>
      </c>
      <c r="B27" s="119">
        <f>SUM(B24:B26)</f>
        <v>238.27266453550115</v>
      </c>
      <c r="C27" s="73">
        <f t="shared" ref="C27:J27" si="3">SUM(C24:C26)</f>
        <v>1706.0505334324016</v>
      </c>
      <c r="D27" s="75">
        <f t="shared" si="3"/>
        <v>727.53195416780125</v>
      </c>
      <c r="E27" s="119"/>
      <c r="F27" s="73"/>
      <c r="G27" s="75"/>
      <c r="H27" s="119">
        <f t="shared" si="3"/>
        <v>238.27266453550115</v>
      </c>
      <c r="I27" s="73">
        <f t="shared" si="3"/>
        <v>1706.0505334324016</v>
      </c>
      <c r="J27" s="75">
        <f t="shared" si="3"/>
        <v>727.53195416780125</v>
      </c>
    </row>
    <row r="28" spans="1:10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0">
      <c r="A29" s="36" t="s">
        <v>50</v>
      </c>
      <c r="B29" s="114">
        <f>'Agric TSM Summary'!B$29*Inputs!$C$13</f>
        <v>284.11287536966398</v>
      </c>
      <c r="C29" s="30">
        <f>'Agric TSM Summary'!C$29*Inputs!$C$13</f>
        <v>284.11287536966398</v>
      </c>
      <c r="D29" s="40">
        <f>'Agric TSM Summary'!D$29*Inputs!$C$13</f>
        <v>284.11287536966398</v>
      </c>
      <c r="E29" s="114"/>
      <c r="F29" s="30"/>
      <c r="G29" s="40"/>
      <c r="H29" s="114">
        <f>'Agric TSM Summary'!H$29*Inputs!$C$13</f>
        <v>284.11287536966398</v>
      </c>
      <c r="I29" s="30">
        <f>'Agric TSM Summary'!I$29*Inputs!$C$13</f>
        <v>284.11287536966398</v>
      </c>
      <c r="J29" s="40">
        <f>'Agric TSM Summary'!J$29*Inputs!$C$13</f>
        <v>284.11287536966398</v>
      </c>
    </row>
    <row r="30" spans="1:10" ht="15">
      <c r="A30" s="36" t="s">
        <v>379</v>
      </c>
      <c r="B30" s="552">
        <f>-Inputs!$C$18</f>
        <v>-3.0284021924274875</v>
      </c>
      <c r="C30" s="551">
        <f>-Inputs!$C$18</f>
        <v>-3.0284021924274875</v>
      </c>
      <c r="D30" s="553">
        <f>-Inputs!$C$18</f>
        <v>-3.0284021924274875</v>
      </c>
      <c r="E30" s="552"/>
      <c r="F30" s="551"/>
      <c r="G30" s="553"/>
      <c r="H30" s="552">
        <f>-Inputs!$C$18</f>
        <v>-3.0284021924274875</v>
      </c>
      <c r="I30" s="551">
        <f>-Inputs!$C$18</f>
        <v>-3.0284021924274875</v>
      </c>
      <c r="J30" s="553">
        <f>-Inputs!$C$18</f>
        <v>-3.0284021924274875</v>
      </c>
    </row>
    <row r="31" spans="1:10">
      <c r="A31" s="36" t="s">
        <v>377</v>
      </c>
      <c r="B31" s="114">
        <f>B29+B30</f>
        <v>281.08447317723648</v>
      </c>
      <c r="C31" s="30">
        <f t="shared" ref="C31:J31" si="4">C29+C30</f>
        <v>281.08447317723648</v>
      </c>
      <c r="D31" s="40">
        <f t="shared" si="4"/>
        <v>281.08447317723648</v>
      </c>
      <c r="E31" s="114"/>
      <c r="F31" s="30"/>
      <c r="G31" s="40"/>
      <c r="H31" s="114">
        <f t="shared" si="4"/>
        <v>281.08447317723648</v>
      </c>
      <c r="I31" s="30">
        <f t="shared" si="4"/>
        <v>281.08447317723648</v>
      </c>
      <c r="J31" s="40">
        <f t="shared" si="4"/>
        <v>281.08447317723648</v>
      </c>
    </row>
    <row r="32" spans="1:10">
      <c r="A32" s="11"/>
      <c r="B32" s="114"/>
      <c r="C32" s="30"/>
      <c r="D32" s="40"/>
      <c r="E32" s="114"/>
      <c r="F32" s="30"/>
      <c r="G32" s="40"/>
      <c r="H32" s="114"/>
      <c r="I32" s="30"/>
      <c r="J32" s="40"/>
    </row>
    <row r="33" spans="1:10">
      <c r="A33" s="36" t="s">
        <v>57</v>
      </c>
      <c r="B33" s="114">
        <f>'Agric TSM Summary'!B31*Inputs!$C$14</f>
        <v>160.05279683391606</v>
      </c>
      <c r="C33" s="30">
        <f>'Agric TSM Summary'!C31*Inputs!$C$14</f>
        <v>160.05279683391606</v>
      </c>
      <c r="D33" s="40">
        <f>'Agric TSM Summary'!D31*Inputs!$C$14</f>
        <v>160.05279683391606</v>
      </c>
      <c r="E33" s="114"/>
      <c r="F33" s="30"/>
      <c r="G33" s="40"/>
      <c r="H33" s="114">
        <f>'Agric TSM Summary'!H31*Inputs!$C$14</f>
        <v>160.05279683391606</v>
      </c>
      <c r="I33" s="30">
        <f>'Agric TSM Summary'!I31*Inputs!$C$14</f>
        <v>160.05279683391606</v>
      </c>
      <c r="J33" s="40">
        <f>'Agric TSM Summary'!J31*Inputs!$C$14</f>
        <v>160.05279683391606</v>
      </c>
    </row>
    <row r="34" spans="1:10" ht="13.5" thickBot="1">
      <c r="A34" s="15"/>
      <c r="B34" s="116"/>
      <c r="C34" s="87"/>
      <c r="D34" s="88"/>
      <c r="E34" s="116"/>
      <c r="F34" s="87"/>
      <c r="G34" s="88"/>
      <c r="H34" s="116"/>
      <c r="I34" s="87"/>
      <c r="J34" s="88"/>
    </row>
    <row r="35" spans="1:10" ht="13.5" thickBot="1">
      <c r="A35" s="281" t="s">
        <v>133</v>
      </c>
      <c r="B35" s="282">
        <f t="shared" ref="B35:J35" si="5">B27+B31+B33</f>
        <v>679.40993454665374</v>
      </c>
      <c r="C35" s="283">
        <f t="shared" si="5"/>
        <v>2147.187803443554</v>
      </c>
      <c r="D35" s="294">
        <f t="shared" si="5"/>
        <v>1168.6692241789538</v>
      </c>
      <c r="E35" s="282"/>
      <c r="F35" s="283"/>
      <c r="G35" s="283"/>
      <c r="H35" s="282">
        <f t="shared" si="5"/>
        <v>679.40993454665374</v>
      </c>
      <c r="I35" s="283">
        <f t="shared" si="5"/>
        <v>2147.187803443554</v>
      </c>
      <c r="J35" s="294">
        <f t="shared" si="5"/>
        <v>1168.6692241789538</v>
      </c>
    </row>
    <row r="36" spans="1:10">
      <c r="B36" s="18"/>
      <c r="C36" s="13"/>
      <c r="D36" s="13"/>
      <c r="E36" s="13"/>
      <c r="F36" s="13"/>
      <c r="G36" s="13"/>
    </row>
    <row r="38" spans="1:10">
      <c r="A38" t="s">
        <v>3</v>
      </c>
      <c r="B38" s="31"/>
      <c r="C38" s="31"/>
      <c r="D38" s="31"/>
      <c r="E38" s="31"/>
      <c r="F38" s="31"/>
      <c r="G38" s="31"/>
      <c r="H38" s="31"/>
      <c r="I38" s="31"/>
      <c r="J38" s="31"/>
    </row>
    <row r="46" spans="1:10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Sheet80">
    <tabColor rgb="FF0070C0"/>
    <pageSetUpPr fitToPage="1"/>
  </sheetPr>
  <dimension ref="A1:J541"/>
  <sheetViews>
    <sheetView zoomScaleNormal="100" workbookViewId="0">
      <pane ySplit="3" topLeftCell="A4" activePane="bottomLeft" state="frozen"/>
      <selection activeCell="D15" sqref="D15"/>
      <selection pane="bottomLeft" activeCell="E19" sqref="E19"/>
    </sheetView>
  </sheetViews>
  <sheetFormatPr defaultRowHeight="12.75"/>
  <cols>
    <col min="1" max="1" width="29.28515625" customWidth="1"/>
    <col min="2" max="2" width="16" customWidth="1"/>
    <col min="3" max="5" width="15.42578125" customWidth="1"/>
    <col min="6" max="7" width="14.7109375" customWidth="1"/>
    <col min="8" max="8" width="12.7109375" customWidth="1"/>
  </cols>
  <sheetData>
    <row r="1" spans="1:8" ht="18.75" thickBot="1">
      <c r="A1" s="756" t="s">
        <v>328</v>
      </c>
      <c r="B1" s="756"/>
      <c r="C1" s="756"/>
      <c r="D1" s="756"/>
      <c r="E1" s="756"/>
      <c r="F1" s="756"/>
      <c r="G1" s="756"/>
      <c r="H1" s="756"/>
    </row>
    <row r="2" spans="1:8" ht="13.5" thickBot="1">
      <c r="A2" s="163"/>
      <c r="B2" s="742" t="s">
        <v>0</v>
      </c>
      <c r="C2" s="743"/>
      <c r="D2" s="743"/>
      <c r="E2" s="743"/>
      <c r="F2" s="744"/>
      <c r="G2" s="103"/>
      <c r="H2" s="484" t="s">
        <v>56</v>
      </c>
    </row>
    <row r="3" spans="1:8" ht="13.5" thickBot="1">
      <c r="A3" s="77" t="s">
        <v>4</v>
      </c>
      <c r="B3" s="74" t="s">
        <v>121</v>
      </c>
      <c r="C3" s="26" t="s">
        <v>100</v>
      </c>
      <c r="D3" s="26" t="s">
        <v>33</v>
      </c>
      <c r="E3" s="26" t="s">
        <v>122</v>
      </c>
      <c r="F3" s="488" t="s">
        <v>216</v>
      </c>
      <c r="G3" s="77" t="s">
        <v>1</v>
      </c>
      <c r="H3" s="488" t="s">
        <v>2</v>
      </c>
    </row>
    <row r="4" spans="1:8">
      <c r="A4" s="105"/>
      <c r="B4" s="104" t="s">
        <v>45</v>
      </c>
      <c r="C4" s="8" t="s">
        <v>45</v>
      </c>
      <c r="D4" s="8" t="s">
        <v>45</v>
      </c>
      <c r="E4" s="8" t="s">
        <v>45</v>
      </c>
      <c r="F4" s="9" t="s">
        <v>45</v>
      </c>
      <c r="G4" s="105" t="s">
        <v>45</v>
      </c>
      <c r="H4" s="7" t="s">
        <v>45</v>
      </c>
    </row>
    <row r="5" spans="1:8">
      <c r="A5" s="84"/>
      <c r="B5" s="104"/>
      <c r="C5" s="8"/>
      <c r="D5" s="8"/>
      <c r="E5" s="8"/>
      <c r="F5" s="9"/>
      <c r="G5" s="106"/>
      <c r="H5" s="9"/>
    </row>
    <row r="6" spans="1:8">
      <c r="A6" s="124" t="s">
        <v>5</v>
      </c>
      <c r="B6" s="441"/>
      <c r="C6" s="442"/>
      <c r="D6" s="442"/>
      <c r="E6" s="442"/>
      <c r="F6" s="188"/>
      <c r="G6" s="443"/>
      <c r="H6" s="24"/>
    </row>
    <row r="7" spans="1:8">
      <c r="A7" s="20" t="s">
        <v>6</v>
      </c>
      <c r="B7" s="441"/>
      <c r="C7" s="442"/>
      <c r="D7" s="442"/>
      <c r="E7" s="442">
        <v>1</v>
      </c>
      <c r="F7" s="188">
        <f t="shared" ref="F7:F19" si="0">SUM(B7:E7)</f>
        <v>1</v>
      </c>
      <c r="G7" s="443"/>
      <c r="H7" s="24">
        <f t="shared" ref="H7:H19" si="1">F7+G7</f>
        <v>1</v>
      </c>
    </row>
    <row r="8" spans="1:8">
      <c r="A8" s="126" t="s">
        <v>7</v>
      </c>
      <c r="B8" s="441"/>
      <c r="C8" s="442">
        <v>1</v>
      </c>
      <c r="D8" s="442"/>
      <c r="E8" s="442"/>
      <c r="F8" s="188">
        <f t="shared" si="0"/>
        <v>1</v>
      </c>
      <c r="G8" s="443"/>
      <c r="H8" s="24">
        <f t="shared" si="1"/>
        <v>1</v>
      </c>
    </row>
    <row r="9" spans="1:8">
      <c r="A9" s="126" t="s">
        <v>191</v>
      </c>
      <c r="B9" s="441"/>
      <c r="C9" s="442"/>
      <c r="D9" s="442"/>
      <c r="E9" s="442"/>
      <c r="F9" s="188"/>
      <c r="G9" s="443"/>
      <c r="H9" s="24"/>
    </row>
    <row r="10" spans="1:8">
      <c r="A10" s="126" t="s">
        <v>192</v>
      </c>
      <c r="B10" s="441"/>
      <c r="C10" s="442"/>
      <c r="D10" s="442"/>
      <c r="E10" s="442"/>
      <c r="F10" s="188"/>
      <c r="G10" s="443"/>
      <c r="H10" s="24"/>
    </row>
    <row r="11" spans="1:8">
      <c r="A11" s="126" t="s">
        <v>8</v>
      </c>
      <c r="B11" s="441"/>
      <c r="C11" s="442"/>
      <c r="D11" s="442"/>
      <c r="E11" s="442"/>
      <c r="F11" s="188"/>
      <c r="G11" s="443"/>
      <c r="H11" s="24"/>
    </row>
    <row r="12" spans="1:8">
      <c r="A12" s="126" t="s">
        <v>9</v>
      </c>
      <c r="B12" s="441"/>
      <c r="C12" s="442"/>
      <c r="D12" s="442"/>
      <c r="E12" s="442"/>
      <c r="F12" s="188"/>
      <c r="G12" s="443"/>
      <c r="H12" s="24"/>
    </row>
    <row r="13" spans="1:8">
      <c r="A13" s="126" t="s">
        <v>10</v>
      </c>
      <c r="B13" s="441"/>
      <c r="C13" s="442"/>
      <c r="D13" s="442"/>
      <c r="E13" s="442"/>
      <c r="F13" s="188"/>
      <c r="G13" s="443"/>
      <c r="H13" s="24"/>
    </row>
    <row r="14" spans="1:8">
      <c r="A14" s="126" t="s">
        <v>11</v>
      </c>
      <c r="B14" s="441"/>
      <c r="C14" s="442"/>
      <c r="D14" s="442"/>
      <c r="E14" s="442"/>
      <c r="F14" s="188"/>
      <c r="G14" s="443"/>
      <c r="H14" s="24"/>
    </row>
    <row r="15" spans="1:8">
      <c r="A15" s="126" t="s">
        <v>106</v>
      </c>
      <c r="B15" s="441"/>
      <c r="C15" s="442"/>
      <c r="D15" s="442"/>
      <c r="E15" s="442"/>
      <c r="F15" s="188"/>
      <c r="G15" s="443"/>
      <c r="H15" s="24"/>
    </row>
    <row r="16" spans="1:8">
      <c r="A16" s="126" t="s">
        <v>107</v>
      </c>
      <c r="B16" s="441"/>
      <c r="C16" s="442"/>
      <c r="D16" s="442"/>
      <c r="E16" s="442"/>
      <c r="F16" s="188"/>
      <c r="G16" s="443"/>
      <c r="H16" s="24"/>
    </row>
    <row r="17" spans="1:9">
      <c r="A17" s="126" t="s">
        <v>12</v>
      </c>
      <c r="B17" s="441"/>
      <c r="C17" s="442"/>
      <c r="D17" s="442"/>
      <c r="E17" s="442"/>
      <c r="F17" s="188"/>
      <c r="G17" s="443"/>
      <c r="H17" s="24"/>
    </row>
    <row r="18" spans="1:9">
      <c r="A18" s="126" t="s">
        <v>13</v>
      </c>
      <c r="B18" s="441"/>
      <c r="C18" s="442"/>
      <c r="D18" s="442"/>
      <c r="E18" s="442"/>
      <c r="F18" s="188"/>
      <c r="G18" s="443"/>
      <c r="H18" s="24"/>
    </row>
    <row r="19" spans="1:9">
      <c r="A19" s="126" t="s">
        <v>108</v>
      </c>
      <c r="B19" s="441"/>
      <c r="C19" s="442"/>
      <c r="D19" s="442"/>
      <c r="E19" s="442">
        <v>1</v>
      </c>
      <c r="F19" s="188">
        <f t="shared" si="0"/>
        <v>1</v>
      </c>
      <c r="G19" s="443"/>
      <c r="H19" s="24">
        <f t="shared" si="1"/>
        <v>1</v>
      </c>
    </row>
    <row r="20" spans="1:9">
      <c r="A20" s="126" t="s">
        <v>109</v>
      </c>
      <c r="B20" s="441"/>
      <c r="C20" s="442"/>
      <c r="D20" s="442"/>
      <c r="E20" s="442"/>
      <c r="F20" s="188"/>
      <c r="G20" s="443"/>
      <c r="H20" s="24"/>
    </row>
    <row r="21" spans="1:9">
      <c r="A21" s="124" t="s">
        <v>14</v>
      </c>
      <c r="B21" s="441"/>
      <c r="C21" s="442"/>
      <c r="D21" s="442"/>
      <c r="E21" s="442"/>
      <c r="F21" s="188"/>
      <c r="G21" s="443"/>
      <c r="H21" s="24"/>
    </row>
    <row r="22" spans="1:9">
      <c r="A22" s="126" t="s">
        <v>15</v>
      </c>
      <c r="B22" s="441"/>
      <c r="C22" s="442"/>
      <c r="D22" s="442"/>
      <c r="E22" s="442"/>
      <c r="F22" s="188"/>
      <c r="G22" s="443"/>
      <c r="H22" s="24"/>
    </row>
    <row r="23" spans="1:9">
      <c r="A23" s="126" t="s">
        <v>16</v>
      </c>
      <c r="B23" s="441"/>
      <c r="C23" s="442"/>
      <c r="D23" s="442"/>
      <c r="E23" s="442"/>
      <c r="F23" s="188"/>
      <c r="G23" s="443"/>
      <c r="H23" s="24"/>
      <c r="I23" s="18"/>
    </row>
    <row r="24" spans="1:9">
      <c r="A24" s="126" t="s">
        <v>17</v>
      </c>
      <c r="B24" s="441"/>
      <c r="C24" s="442"/>
      <c r="D24" s="442"/>
      <c r="E24" s="442"/>
      <c r="F24" s="188"/>
      <c r="G24" s="443"/>
      <c r="H24" s="24"/>
    </row>
    <row r="25" spans="1:9">
      <c r="A25" s="126" t="s">
        <v>18</v>
      </c>
      <c r="B25" s="441"/>
      <c r="C25" s="442"/>
      <c r="D25" s="442"/>
      <c r="E25" s="442"/>
      <c r="F25" s="188"/>
      <c r="G25" s="443"/>
      <c r="H25" s="24"/>
    </row>
    <row r="26" spans="1:9">
      <c r="A26" s="126" t="s">
        <v>19</v>
      </c>
      <c r="B26" s="441"/>
      <c r="C26" s="442"/>
      <c r="D26" s="442"/>
      <c r="E26" s="442"/>
      <c r="F26" s="188"/>
      <c r="G26" s="443"/>
      <c r="H26" s="24"/>
    </row>
    <row r="27" spans="1:9">
      <c r="A27" s="126" t="s">
        <v>20</v>
      </c>
      <c r="B27" s="441"/>
      <c r="C27" s="442"/>
      <c r="D27" s="442"/>
      <c r="E27" s="442"/>
      <c r="F27" s="188"/>
      <c r="G27" s="443"/>
      <c r="H27" s="24"/>
    </row>
    <row r="28" spans="1:9">
      <c r="A28" s="126" t="s">
        <v>21</v>
      </c>
      <c r="B28" s="441"/>
      <c r="C28" s="442"/>
      <c r="D28" s="442"/>
      <c r="E28" s="442"/>
      <c r="F28" s="188"/>
      <c r="G28" s="443"/>
      <c r="H28" s="24"/>
    </row>
    <row r="29" spans="1:9">
      <c r="A29" s="126" t="s">
        <v>22</v>
      </c>
      <c r="B29" s="441"/>
      <c r="C29" s="442"/>
      <c r="D29" s="442"/>
      <c r="E29" s="442"/>
      <c r="F29" s="188"/>
      <c r="G29" s="443"/>
      <c r="H29" s="24"/>
    </row>
    <row r="30" spans="1:9">
      <c r="A30" s="124" t="s">
        <v>23</v>
      </c>
      <c r="B30" s="441"/>
      <c r="C30" s="442"/>
      <c r="D30" s="442"/>
      <c r="E30" s="442"/>
      <c r="F30" s="188"/>
      <c r="G30" s="443"/>
      <c r="H30" s="24"/>
    </row>
    <row r="31" spans="1:9">
      <c r="A31" s="124" t="s">
        <v>24</v>
      </c>
      <c r="B31" s="186"/>
      <c r="C31" s="187"/>
      <c r="D31" s="187"/>
      <c r="E31" s="187"/>
      <c r="F31" s="188"/>
      <c r="G31" s="222"/>
      <c r="H31" s="24"/>
    </row>
    <row r="32" spans="1:9">
      <c r="A32" s="124" t="s">
        <v>25</v>
      </c>
      <c r="B32" s="186"/>
      <c r="C32" s="187"/>
      <c r="D32" s="187"/>
      <c r="E32" s="187"/>
      <c r="F32" s="188"/>
      <c r="G32" s="222"/>
      <c r="H32" s="24"/>
    </row>
    <row r="33" spans="1:10">
      <c r="A33" s="124" t="s">
        <v>111</v>
      </c>
      <c r="B33" s="186"/>
      <c r="C33" s="187"/>
      <c r="D33" s="187"/>
      <c r="E33" s="187"/>
      <c r="F33" s="188"/>
      <c r="G33" s="222"/>
      <c r="H33" s="24"/>
    </row>
    <row r="34" spans="1:10">
      <c r="A34" s="124" t="s">
        <v>112</v>
      </c>
      <c r="B34" s="186"/>
      <c r="C34" s="187"/>
      <c r="D34" s="187"/>
      <c r="E34" s="187"/>
      <c r="F34" s="188"/>
      <c r="G34" s="222"/>
      <c r="H34" s="24"/>
    </row>
    <row r="35" spans="1:10">
      <c r="A35" s="126" t="s">
        <v>26</v>
      </c>
      <c r="B35" s="186"/>
      <c r="C35" s="187"/>
      <c r="D35" s="187"/>
      <c r="E35" s="187"/>
      <c r="F35" s="188"/>
      <c r="G35" s="222"/>
      <c r="H35" s="24"/>
    </row>
    <row r="36" spans="1:10">
      <c r="A36" s="126" t="s">
        <v>27</v>
      </c>
      <c r="B36" s="186"/>
      <c r="C36" s="187"/>
      <c r="D36" s="187"/>
      <c r="E36" s="187"/>
      <c r="F36" s="188"/>
      <c r="G36" s="222"/>
      <c r="H36" s="24"/>
    </row>
    <row r="37" spans="1:10" ht="13.5" thickBot="1">
      <c r="A37" s="124"/>
      <c r="B37" s="186"/>
      <c r="C37" s="187"/>
      <c r="D37" s="187"/>
      <c r="E37" s="187"/>
      <c r="F37" s="188"/>
      <c r="G37" s="338"/>
      <c r="H37" s="207"/>
    </row>
    <row r="38" spans="1:10" ht="13.5" thickBot="1">
      <c r="A38" s="181" t="s">
        <v>2</v>
      </c>
      <c r="B38" s="215"/>
      <c r="C38" s="131">
        <f>SUM(C6:C37)</f>
        <v>1</v>
      </c>
      <c r="D38" s="131"/>
      <c r="E38" s="131">
        <f>SUM(E6:E37)</f>
        <v>2</v>
      </c>
      <c r="F38" s="131">
        <f>SUM(F6:F37)</f>
        <v>3</v>
      </c>
      <c r="G38" s="216"/>
      <c r="H38" s="223">
        <f>SUM(H6:H37)</f>
        <v>3</v>
      </c>
      <c r="J38" s="178"/>
    </row>
    <row r="39" spans="1:10">
      <c r="A39" s="226" t="s">
        <v>119</v>
      </c>
      <c r="B39" s="258"/>
      <c r="C39" s="248">
        <f>SUM(C6:C9)</f>
        <v>1</v>
      </c>
      <c r="D39" s="248"/>
      <c r="E39" s="248">
        <f>SUM(E6:E9)</f>
        <v>1</v>
      </c>
      <c r="F39" s="251">
        <f>SUM(F6:F9)</f>
        <v>2</v>
      </c>
      <c r="G39" s="254"/>
      <c r="H39" s="251">
        <f>SUM(H6:H9)</f>
        <v>2</v>
      </c>
      <c r="J39" s="178"/>
    </row>
    <row r="40" spans="1:10" ht="13.5" thickBot="1">
      <c r="A40" s="179" t="s">
        <v>120</v>
      </c>
      <c r="B40" s="260"/>
      <c r="C40" s="250">
        <f t="shared" ref="C40:H40" si="2">SUM(C10:C36)</f>
        <v>0</v>
      </c>
      <c r="D40" s="250"/>
      <c r="E40" s="250">
        <f t="shared" si="2"/>
        <v>1</v>
      </c>
      <c r="F40" s="253">
        <f t="shared" si="2"/>
        <v>1</v>
      </c>
      <c r="G40" s="256"/>
      <c r="H40" s="253">
        <f t="shared" si="2"/>
        <v>1</v>
      </c>
      <c r="J40" s="178"/>
    </row>
    <row r="41" spans="1:10">
      <c r="A41" s="121"/>
      <c r="B41" s="244"/>
      <c r="C41" s="244"/>
      <c r="D41" s="244"/>
      <c r="E41" s="244"/>
      <c r="F41" s="244"/>
      <c r="G41" s="244"/>
      <c r="H41" s="432"/>
    </row>
    <row r="42" spans="1:10">
      <c r="A42" s="29" t="s">
        <v>307</v>
      </c>
      <c r="B42" s="12"/>
      <c r="C42" s="12"/>
      <c r="D42" s="12"/>
      <c r="E42" s="12"/>
      <c r="F42" s="12"/>
      <c r="G42" s="12"/>
      <c r="H42" s="76"/>
    </row>
    <row r="43" spans="1:10">
      <c r="A43" s="29"/>
      <c r="B43" s="421" t="s">
        <v>404</v>
      </c>
      <c r="C43" s="12"/>
      <c r="D43" s="12"/>
      <c r="E43" s="12"/>
      <c r="F43" s="12"/>
      <c r="G43" s="12"/>
      <c r="H43" s="76"/>
    </row>
    <row r="44" spans="1:10" ht="13.5" thickBot="1">
      <c r="A44" s="72"/>
      <c r="B44" s="438" t="s">
        <v>306</v>
      </c>
      <c r="C44" s="28"/>
      <c r="D44" s="28"/>
      <c r="E44" s="28"/>
      <c r="F44" s="28"/>
      <c r="G44" s="28"/>
      <c r="H44" s="80"/>
    </row>
    <row r="45" spans="1:10">
      <c r="A45" s="120"/>
    </row>
    <row r="46" spans="1:10">
      <c r="A46" s="264" t="s">
        <v>91</v>
      </c>
      <c r="B46" s="18">
        <f>SUM(B39:B40)-B38</f>
        <v>0</v>
      </c>
      <c r="C46" s="18">
        <f t="shared" ref="C46:H46" si="3">SUM(C39:C40)-C38</f>
        <v>0</v>
      </c>
      <c r="D46" s="18">
        <f t="shared" si="3"/>
        <v>0</v>
      </c>
      <c r="E46" s="18">
        <f t="shared" si="3"/>
        <v>0</v>
      </c>
      <c r="F46" s="18">
        <f t="shared" si="3"/>
        <v>0</v>
      </c>
      <c r="G46" s="18">
        <f t="shared" si="3"/>
        <v>0</v>
      </c>
      <c r="H46" s="18">
        <f t="shared" si="3"/>
        <v>0</v>
      </c>
    </row>
    <row r="47" spans="1:10">
      <c r="A47" s="21"/>
    </row>
    <row r="48" spans="1:10">
      <c r="A48" s="21"/>
    </row>
    <row r="49" spans="1:1">
      <c r="A49" s="21"/>
    </row>
    <row r="50" spans="1:1">
      <c r="A50" s="21"/>
    </row>
    <row r="51" spans="1:1">
      <c r="A51" s="21"/>
    </row>
    <row r="52" spans="1:1">
      <c r="A52" s="21"/>
    </row>
    <row r="53" spans="1:1">
      <c r="A53" s="21"/>
    </row>
    <row r="54" spans="1:1">
      <c r="A54" s="21"/>
    </row>
    <row r="55" spans="1:1">
      <c r="A55" s="21"/>
    </row>
    <row r="56" spans="1:1">
      <c r="A56" s="21"/>
    </row>
    <row r="57" spans="1:1">
      <c r="A57" s="21"/>
    </row>
    <row r="58" spans="1:1">
      <c r="A58" s="21"/>
    </row>
    <row r="59" spans="1:1">
      <c r="A59" s="21"/>
    </row>
    <row r="60" spans="1:1">
      <c r="A60" s="21"/>
    </row>
    <row r="61" spans="1:1">
      <c r="A61" s="21"/>
    </row>
    <row r="62" spans="1:1">
      <c r="A62" s="21"/>
    </row>
    <row r="63" spans="1:1">
      <c r="A63" s="21"/>
    </row>
    <row r="64" spans="1:1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  <row r="330" spans="1:1">
      <c r="A330" s="21"/>
    </row>
    <row r="331" spans="1:1">
      <c r="A331" s="21"/>
    </row>
    <row r="332" spans="1:1">
      <c r="A332" s="21"/>
    </row>
    <row r="333" spans="1:1">
      <c r="A333" s="21"/>
    </row>
    <row r="334" spans="1:1">
      <c r="A334" s="21"/>
    </row>
    <row r="335" spans="1:1">
      <c r="A335" s="21"/>
    </row>
    <row r="336" spans="1:1">
      <c r="A336" s="21"/>
    </row>
    <row r="337" spans="1:1">
      <c r="A337" s="21"/>
    </row>
    <row r="338" spans="1:1">
      <c r="A338" s="21"/>
    </row>
    <row r="339" spans="1:1">
      <c r="A339" s="21"/>
    </row>
    <row r="340" spans="1:1">
      <c r="A340" s="21"/>
    </row>
    <row r="341" spans="1:1">
      <c r="A341" s="21"/>
    </row>
    <row r="342" spans="1:1">
      <c r="A342" s="21"/>
    </row>
    <row r="343" spans="1:1">
      <c r="A343" s="21"/>
    </row>
    <row r="344" spans="1:1">
      <c r="A344" s="21"/>
    </row>
    <row r="345" spans="1:1">
      <c r="A345" s="21"/>
    </row>
    <row r="346" spans="1:1">
      <c r="A346" s="21"/>
    </row>
    <row r="347" spans="1:1">
      <c r="A347" s="21"/>
    </row>
    <row r="348" spans="1:1">
      <c r="A348" s="21"/>
    </row>
    <row r="349" spans="1:1">
      <c r="A349" s="21"/>
    </row>
    <row r="350" spans="1:1">
      <c r="A350" s="21"/>
    </row>
    <row r="351" spans="1:1">
      <c r="A351" s="21"/>
    </row>
    <row r="352" spans="1:1">
      <c r="A352" s="21"/>
    </row>
    <row r="353" spans="1:1">
      <c r="A353" s="21"/>
    </row>
    <row r="354" spans="1:1">
      <c r="A354" s="21"/>
    </row>
    <row r="355" spans="1:1">
      <c r="A355" s="21"/>
    </row>
    <row r="356" spans="1:1">
      <c r="A356" s="21"/>
    </row>
    <row r="357" spans="1:1">
      <c r="A357" s="21"/>
    </row>
    <row r="358" spans="1:1">
      <c r="A358" s="21"/>
    </row>
    <row r="359" spans="1:1">
      <c r="A359" s="21"/>
    </row>
    <row r="360" spans="1:1">
      <c r="A360" s="21"/>
    </row>
    <row r="361" spans="1:1">
      <c r="A361" s="21"/>
    </row>
    <row r="362" spans="1:1">
      <c r="A362" s="21"/>
    </row>
    <row r="363" spans="1:1">
      <c r="A363" s="21"/>
    </row>
    <row r="364" spans="1:1">
      <c r="A364" s="21"/>
    </row>
    <row r="365" spans="1:1">
      <c r="A365" s="21"/>
    </row>
    <row r="366" spans="1:1">
      <c r="A366" s="21"/>
    </row>
    <row r="367" spans="1:1">
      <c r="A367" s="21"/>
    </row>
    <row r="368" spans="1:1">
      <c r="A368" s="21"/>
    </row>
    <row r="369" spans="1:1">
      <c r="A369" s="21"/>
    </row>
    <row r="370" spans="1:1">
      <c r="A370" s="21"/>
    </row>
    <row r="371" spans="1:1">
      <c r="A371" s="21"/>
    </row>
    <row r="372" spans="1:1">
      <c r="A372" s="21"/>
    </row>
    <row r="373" spans="1:1">
      <c r="A373" s="21"/>
    </row>
    <row r="374" spans="1:1">
      <c r="A374" s="21"/>
    </row>
    <row r="375" spans="1:1">
      <c r="A375" s="21"/>
    </row>
    <row r="376" spans="1:1">
      <c r="A376" s="21"/>
    </row>
    <row r="377" spans="1:1">
      <c r="A377" s="21"/>
    </row>
    <row r="378" spans="1:1">
      <c r="A378" s="21"/>
    </row>
    <row r="379" spans="1:1">
      <c r="A379" s="21"/>
    </row>
    <row r="380" spans="1:1">
      <c r="A380" s="21"/>
    </row>
    <row r="381" spans="1:1">
      <c r="A381" s="21"/>
    </row>
    <row r="382" spans="1:1">
      <c r="A382" s="21"/>
    </row>
    <row r="383" spans="1:1">
      <c r="A383" s="21"/>
    </row>
    <row r="384" spans="1:1">
      <c r="A384" s="21"/>
    </row>
    <row r="385" spans="1:1">
      <c r="A385" s="21"/>
    </row>
    <row r="386" spans="1:1">
      <c r="A386" s="21"/>
    </row>
    <row r="387" spans="1:1">
      <c r="A387" s="21"/>
    </row>
    <row r="388" spans="1:1">
      <c r="A388" s="21"/>
    </row>
    <row r="389" spans="1:1">
      <c r="A389" s="21"/>
    </row>
    <row r="390" spans="1:1">
      <c r="A390" s="21"/>
    </row>
    <row r="391" spans="1:1">
      <c r="A391" s="21"/>
    </row>
    <row r="392" spans="1:1">
      <c r="A392" s="21"/>
    </row>
    <row r="393" spans="1:1">
      <c r="A393" s="21"/>
    </row>
    <row r="394" spans="1:1">
      <c r="A394" s="21"/>
    </row>
    <row r="395" spans="1:1">
      <c r="A395" s="21"/>
    </row>
    <row r="396" spans="1:1">
      <c r="A396" s="21"/>
    </row>
    <row r="397" spans="1:1">
      <c r="A397" s="21"/>
    </row>
    <row r="398" spans="1:1">
      <c r="A398" s="21"/>
    </row>
    <row r="399" spans="1:1">
      <c r="A399" s="21"/>
    </row>
    <row r="400" spans="1:1">
      <c r="A400" s="21"/>
    </row>
    <row r="401" spans="1:1">
      <c r="A401" s="21"/>
    </row>
    <row r="402" spans="1:1">
      <c r="A402" s="21"/>
    </row>
    <row r="403" spans="1:1">
      <c r="A403" s="21"/>
    </row>
    <row r="404" spans="1:1">
      <c r="A404" s="21"/>
    </row>
    <row r="405" spans="1:1">
      <c r="A405" s="21"/>
    </row>
    <row r="406" spans="1:1">
      <c r="A406" s="21"/>
    </row>
    <row r="407" spans="1:1">
      <c r="A407" s="21"/>
    </row>
    <row r="408" spans="1:1">
      <c r="A408" s="21"/>
    </row>
    <row r="409" spans="1:1">
      <c r="A409" s="21"/>
    </row>
    <row r="410" spans="1:1">
      <c r="A410" s="21"/>
    </row>
    <row r="411" spans="1:1">
      <c r="A411" s="21"/>
    </row>
    <row r="412" spans="1:1">
      <c r="A412" s="21"/>
    </row>
    <row r="413" spans="1:1">
      <c r="A413" s="21"/>
    </row>
    <row r="414" spans="1:1">
      <c r="A414" s="21"/>
    </row>
    <row r="415" spans="1:1">
      <c r="A415" s="21"/>
    </row>
    <row r="416" spans="1:1">
      <c r="A416" s="21"/>
    </row>
    <row r="417" spans="1:1">
      <c r="A417" s="21"/>
    </row>
    <row r="418" spans="1:1">
      <c r="A418" s="21"/>
    </row>
    <row r="419" spans="1:1">
      <c r="A419" s="21"/>
    </row>
    <row r="420" spans="1:1">
      <c r="A420" s="21"/>
    </row>
    <row r="421" spans="1:1">
      <c r="A421" s="21"/>
    </row>
    <row r="422" spans="1:1">
      <c r="A422" s="21"/>
    </row>
    <row r="423" spans="1:1">
      <c r="A423" s="21"/>
    </row>
    <row r="424" spans="1:1">
      <c r="A424" s="21"/>
    </row>
    <row r="425" spans="1:1">
      <c r="A425" s="21"/>
    </row>
    <row r="426" spans="1:1">
      <c r="A426" s="21"/>
    </row>
    <row r="427" spans="1:1">
      <c r="A427" s="21"/>
    </row>
    <row r="428" spans="1:1">
      <c r="A428" s="21"/>
    </row>
    <row r="429" spans="1:1">
      <c r="A429" s="21"/>
    </row>
    <row r="430" spans="1:1">
      <c r="A430" s="21"/>
    </row>
    <row r="431" spans="1:1">
      <c r="A431" s="21"/>
    </row>
    <row r="432" spans="1:1">
      <c r="A432" s="21"/>
    </row>
    <row r="433" spans="1:1">
      <c r="A433" s="21"/>
    </row>
    <row r="434" spans="1:1">
      <c r="A434" s="21"/>
    </row>
    <row r="435" spans="1:1">
      <c r="A435" s="21"/>
    </row>
    <row r="436" spans="1:1">
      <c r="A436" s="21"/>
    </row>
    <row r="437" spans="1:1">
      <c r="A437" s="21"/>
    </row>
    <row r="438" spans="1:1">
      <c r="A438" s="21"/>
    </row>
    <row r="439" spans="1:1">
      <c r="A439" s="21"/>
    </row>
    <row r="440" spans="1:1">
      <c r="A440" s="21"/>
    </row>
    <row r="441" spans="1:1">
      <c r="A441" s="21"/>
    </row>
    <row r="442" spans="1:1">
      <c r="A442" s="21"/>
    </row>
    <row r="443" spans="1:1">
      <c r="A443" s="21"/>
    </row>
    <row r="444" spans="1:1">
      <c r="A444" s="21"/>
    </row>
    <row r="445" spans="1:1">
      <c r="A445" s="21"/>
    </row>
    <row r="446" spans="1:1">
      <c r="A446" s="21"/>
    </row>
    <row r="447" spans="1:1">
      <c r="A447" s="21"/>
    </row>
    <row r="448" spans="1:1">
      <c r="A448" s="21"/>
    </row>
    <row r="449" spans="1:1">
      <c r="A449" s="21"/>
    </row>
    <row r="450" spans="1:1">
      <c r="A450" s="21"/>
    </row>
    <row r="451" spans="1:1">
      <c r="A451" s="21"/>
    </row>
    <row r="452" spans="1:1">
      <c r="A452" s="21"/>
    </row>
    <row r="453" spans="1:1">
      <c r="A453" s="21"/>
    </row>
    <row r="454" spans="1:1">
      <c r="A454" s="21"/>
    </row>
    <row r="455" spans="1:1">
      <c r="A455" s="21"/>
    </row>
    <row r="456" spans="1:1">
      <c r="A456" s="21"/>
    </row>
    <row r="457" spans="1:1">
      <c r="A457" s="21"/>
    </row>
    <row r="458" spans="1:1">
      <c r="A458" s="21"/>
    </row>
    <row r="459" spans="1:1">
      <c r="A459" s="21"/>
    </row>
    <row r="460" spans="1:1">
      <c r="A460" s="21"/>
    </row>
    <row r="461" spans="1:1">
      <c r="A461" s="21"/>
    </row>
    <row r="462" spans="1:1">
      <c r="A462" s="21"/>
    </row>
    <row r="463" spans="1:1">
      <c r="A463" s="21"/>
    </row>
    <row r="464" spans="1:1">
      <c r="A464" s="21"/>
    </row>
    <row r="465" spans="1:1">
      <c r="A465" s="21"/>
    </row>
    <row r="466" spans="1:1">
      <c r="A466" s="21"/>
    </row>
    <row r="467" spans="1:1">
      <c r="A467" s="21"/>
    </row>
    <row r="468" spans="1:1">
      <c r="A468" s="21"/>
    </row>
    <row r="469" spans="1:1">
      <c r="A469" s="21"/>
    </row>
    <row r="470" spans="1:1">
      <c r="A470" s="21"/>
    </row>
    <row r="471" spans="1:1">
      <c r="A471" s="21"/>
    </row>
    <row r="472" spans="1:1">
      <c r="A472" s="21"/>
    </row>
    <row r="473" spans="1:1">
      <c r="A473" s="21"/>
    </row>
    <row r="474" spans="1:1">
      <c r="A474" s="21"/>
    </row>
    <row r="475" spans="1:1">
      <c r="A475" s="21"/>
    </row>
    <row r="476" spans="1:1">
      <c r="A476" s="21"/>
    </row>
    <row r="477" spans="1:1">
      <c r="A477" s="21"/>
    </row>
    <row r="478" spans="1:1">
      <c r="A478" s="21"/>
    </row>
    <row r="479" spans="1:1">
      <c r="A479" s="21"/>
    </row>
    <row r="480" spans="1:1">
      <c r="A480" s="21"/>
    </row>
    <row r="481" spans="1:1">
      <c r="A481" s="21"/>
    </row>
    <row r="482" spans="1:1">
      <c r="A482" s="21"/>
    </row>
    <row r="483" spans="1:1">
      <c r="A483" s="21"/>
    </row>
    <row r="484" spans="1:1">
      <c r="A484" s="21"/>
    </row>
    <row r="485" spans="1:1">
      <c r="A485" s="21"/>
    </row>
    <row r="486" spans="1:1">
      <c r="A486" s="21"/>
    </row>
    <row r="487" spans="1:1">
      <c r="A487" s="21"/>
    </row>
    <row r="488" spans="1:1">
      <c r="A488" s="21"/>
    </row>
    <row r="489" spans="1:1">
      <c r="A489" s="21"/>
    </row>
    <row r="490" spans="1:1">
      <c r="A490" s="21"/>
    </row>
    <row r="491" spans="1:1">
      <c r="A491" s="21"/>
    </row>
    <row r="492" spans="1:1">
      <c r="A492" s="21"/>
    </row>
    <row r="493" spans="1:1">
      <c r="A493" s="21"/>
    </row>
    <row r="494" spans="1:1">
      <c r="A494" s="21"/>
    </row>
    <row r="495" spans="1:1">
      <c r="A495" s="21"/>
    </row>
    <row r="496" spans="1:1">
      <c r="A496" s="21"/>
    </row>
    <row r="497" spans="1:1">
      <c r="A497" s="21"/>
    </row>
    <row r="498" spans="1:1">
      <c r="A498" s="21"/>
    </row>
    <row r="499" spans="1:1">
      <c r="A499" s="21"/>
    </row>
    <row r="500" spans="1:1">
      <c r="A500" s="21"/>
    </row>
    <row r="501" spans="1:1">
      <c r="A501" s="21"/>
    </row>
    <row r="502" spans="1:1">
      <c r="A502" s="21"/>
    </row>
    <row r="503" spans="1:1">
      <c r="A503" s="21"/>
    </row>
    <row r="504" spans="1:1">
      <c r="A504" s="21"/>
    </row>
    <row r="505" spans="1:1">
      <c r="A505" s="21"/>
    </row>
    <row r="506" spans="1:1">
      <c r="A506" s="21"/>
    </row>
    <row r="507" spans="1:1">
      <c r="A507" s="21"/>
    </row>
    <row r="508" spans="1:1">
      <c r="A508" s="21"/>
    </row>
    <row r="509" spans="1:1">
      <c r="A509" s="21"/>
    </row>
    <row r="510" spans="1:1">
      <c r="A510" s="21"/>
    </row>
    <row r="511" spans="1:1">
      <c r="A511" s="21"/>
    </row>
    <row r="512" spans="1:1">
      <c r="A512" s="21"/>
    </row>
    <row r="513" spans="1:1">
      <c r="A513" s="21"/>
    </row>
    <row r="514" spans="1:1">
      <c r="A514" s="21"/>
    </row>
    <row r="515" spans="1:1">
      <c r="A515" s="21"/>
    </row>
    <row r="516" spans="1:1">
      <c r="A516" s="21"/>
    </row>
    <row r="517" spans="1:1">
      <c r="A517" s="21"/>
    </row>
    <row r="518" spans="1:1">
      <c r="A518" s="21"/>
    </row>
    <row r="519" spans="1:1">
      <c r="A519" s="21"/>
    </row>
    <row r="520" spans="1:1">
      <c r="A520" s="21"/>
    </row>
    <row r="521" spans="1:1">
      <c r="A521" s="21"/>
    </row>
    <row r="522" spans="1:1">
      <c r="A522" s="21"/>
    </row>
    <row r="523" spans="1:1">
      <c r="A523" s="21"/>
    </row>
    <row r="524" spans="1:1">
      <c r="A524" s="21"/>
    </row>
    <row r="525" spans="1:1">
      <c r="A525" s="21"/>
    </row>
    <row r="526" spans="1:1">
      <c r="A526" s="21"/>
    </row>
    <row r="527" spans="1:1">
      <c r="A527" s="21"/>
    </row>
    <row r="528" spans="1:1">
      <c r="A528" s="21"/>
    </row>
    <row r="529" spans="1:1">
      <c r="A529" s="21"/>
    </row>
    <row r="530" spans="1:1">
      <c r="A530" s="21"/>
    </row>
    <row r="531" spans="1:1">
      <c r="A531" s="21"/>
    </row>
    <row r="532" spans="1:1">
      <c r="A532" s="21"/>
    </row>
    <row r="533" spans="1:1">
      <c r="A533" s="21"/>
    </row>
    <row r="534" spans="1:1">
      <c r="A534" s="21"/>
    </row>
    <row r="535" spans="1:1">
      <c r="A535" s="21"/>
    </row>
    <row r="536" spans="1:1">
      <c r="A536" s="21"/>
    </row>
    <row r="537" spans="1:1">
      <c r="A537" s="21"/>
    </row>
    <row r="538" spans="1:1">
      <c r="A538" s="21"/>
    </row>
    <row r="539" spans="1:1">
      <c r="A539" s="21"/>
    </row>
    <row r="540" spans="1:1">
      <c r="A540" s="21"/>
    </row>
    <row r="541" spans="1:1">
      <c r="A541" s="21"/>
    </row>
  </sheetData>
  <mergeCells count="2">
    <mergeCell ref="A1:H1"/>
    <mergeCell ref="B2:F2"/>
  </mergeCells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Sheet81">
    <tabColor rgb="FF0070C0"/>
  </sheetPr>
  <dimension ref="A1:AC62"/>
  <sheetViews>
    <sheetView zoomScaleNormal="100" workbookViewId="0">
      <selection activeCell="L9" sqref="L9"/>
    </sheetView>
  </sheetViews>
  <sheetFormatPr defaultRowHeight="12.75"/>
  <cols>
    <col min="1" max="1" width="32.7109375" customWidth="1"/>
    <col min="2" max="2" width="12.85546875" customWidth="1"/>
    <col min="3" max="4" width="8.7109375" customWidth="1"/>
    <col min="5" max="5" width="11.7109375" customWidth="1"/>
    <col min="6" max="6" width="12.85546875" customWidth="1"/>
    <col min="7" max="8" width="11.5703125" customWidth="1"/>
    <col min="9" max="9" width="11.42578125" customWidth="1"/>
    <col min="10" max="10" width="12.85546875" customWidth="1"/>
    <col min="11" max="12" width="10.140625" customWidth="1"/>
    <col min="13" max="13" width="11.7109375" customWidth="1"/>
    <col min="14" max="14" width="12.85546875" customWidth="1"/>
    <col min="15" max="16" width="11.28515625" customWidth="1"/>
    <col min="17" max="21" width="12.5703125" customWidth="1"/>
    <col min="22" max="22" width="12.85546875" customWidth="1"/>
    <col min="23" max="24" width="11.42578125" customWidth="1"/>
    <col min="25" max="25" width="13" customWidth="1"/>
    <col min="26" max="26" width="12.85546875" customWidth="1"/>
    <col min="27" max="28" width="11.28515625" customWidth="1"/>
    <col min="29" max="29" width="10.28515625" customWidth="1"/>
  </cols>
  <sheetData>
    <row r="1" spans="1:29" ht="18.75" thickBot="1">
      <c r="A1" s="756" t="s">
        <v>329</v>
      </c>
      <c r="B1" s="756"/>
      <c r="C1" s="756"/>
      <c r="D1" s="756"/>
      <c r="E1" s="756"/>
      <c r="F1" s="756"/>
      <c r="G1" s="756"/>
      <c r="H1" s="756"/>
      <c r="I1" s="756"/>
      <c r="J1" s="756"/>
      <c r="K1" s="756"/>
      <c r="L1" s="756"/>
      <c r="M1" s="756"/>
      <c r="N1" s="756"/>
      <c r="O1" s="756"/>
      <c r="P1" s="756"/>
      <c r="Q1" s="756"/>
      <c r="R1" s="756"/>
      <c r="S1" s="756"/>
      <c r="T1" s="756"/>
      <c r="U1" s="756"/>
      <c r="V1" s="756"/>
      <c r="W1" s="756"/>
      <c r="X1" s="756"/>
      <c r="Y1" s="756"/>
    </row>
    <row r="2" spans="1:29" ht="13.5" thickBot="1">
      <c r="A2" s="485"/>
      <c r="B2" s="749" t="s">
        <v>117</v>
      </c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50"/>
      <c r="S2" s="750"/>
      <c r="T2" s="750"/>
      <c r="U2" s="752"/>
      <c r="V2" s="749" t="s">
        <v>118</v>
      </c>
      <c r="W2" s="750"/>
      <c r="X2" s="750"/>
      <c r="Y2" s="752"/>
      <c r="Z2" s="749" t="s">
        <v>330</v>
      </c>
      <c r="AA2" s="750"/>
      <c r="AB2" s="750"/>
      <c r="AC2" s="752"/>
    </row>
    <row r="3" spans="1:29">
      <c r="A3" s="348"/>
      <c r="B3" s="757" t="s">
        <v>113</v>
      </c>
      <c r="C3" s="758"/>
      <c r="D3" s="758"/>
      <c r="E3" s="759"/>
      <c r="F3" s="757" t="s">
        <v>100</v>
      </c>
      <c r="G3" s="758"/>
      <c r="H3" s="758"/>
      <c r="I3" s="759"/>
      <c r="J3" s="758" t="s">
        <v>33</v>
      </c>
      <c r="K3" s="758"/>
      <c r="L3" s="758"/>
      <c r="M3" s="759"/>
      <c r="N3" s="751" t="s">
        <v>34</v>
      </c>
      <c r="O3" s="758"/>
      <c r="P3" s="758"/>
      <c r="Q3" s="759"/>
      <c r="R3" s="751" t="s">
        <v>123</v>
      </c>
      <c r="S3" s="758"/>
      <c r="T3" s="758"/>
      <c r="U3" s="759"/>
      <c r="V3" s="762"/>
      <c r="W3" s="762"/>
      <c r="X3" s="762"/>
      <c r="Y3" s="763"/>
      <c r="Z3" s="761"/>
      <c r="AA3" s="762"/>
      <c r="AB3" s="762"/>
      <c r="AC3" s="763"/>
    </row>
    <row r="4" spans="1:29" ht="13.5" thickBot="1">
      <c r="A4" s="486" t="s">
        <v>4</v>
      </c>
      <c r="B4" s="486" t="s">
        <v>36</v>
      </c>
      <c r="C4" s="487" t="s">
        <v>37</v>
      </c>
      <c r="D4" s="487" t="s">
        <v>38</v>
      </c>
      <c r="E4" s="488" t="s">
        <v>41</v>
      </c>
      <c r="F4" s="486" t="s">
        <v>36</v>
      </c>
      <c r="G4" s="487" t="s">
        <v>37</v>
      </c>
      <c r="H4" s="487" t="s">
        <v>38</v>
      </c>
      <c r="I4" s="488" t="s">
        <v>41</v>
      </c>
      <c r="J4" s="487" t="s">
        <v>36</v>
      </c>
      <c r="K4" s="487" t="s">
        <v>37</v>
      </c>
      <c r="L4" s="487" t="s">
        <v>38</v>
      </c>
      <c r="M4" s="488" t="s">
        <v>41</v>
      </c>
      <c r="N4" s="486" t="s">
        <v>36</v>
      </c>
      <c r="O4" s="487" t="s">
        <v>37</v>
      </c>
      <c r="P4" s="487" t="s">
        <v>38</v>
      </c>
      <c r="Q4" s="488" t="s">
        <v>41</v>
      </c>
      <c r="R4" s="486" t="s">
        <v>36</v>
      </c>
      <c r="S4" s="487" t="s">
        <v>37</v>
      </c>
      <c r="T4" s="487" t="s">
        <v>38</v>
      </c>
      <c r="U4" s="488" t="s">
        <v>41</v>
      </c>
      <c r="V4" s="487" t="s">
        <v>36</v>
      </c>
      <c r="W4" s="487" t="s">
        <v>37</v>
      </c>
      <c r="X4" s="487" t="s">
        <v>38</v>
      </c>
      <c r="Y4" s="488" t="s">
        <v>41</v>
      </c>
      <c r="Z4" s="486" t="s">
        <v>36</v>
      </c>
      <c r="AA4" s="487" t="s">
        <v>37</v>
      </c>
      <c r="AB4" s="487" t="s">
        <v>38</v>
      </c>
      <c r="AC4" s="488" t="s">
        <v>41</v>
      </c>
    </row>
    <row r="5" spans="1:29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</row>
    <row r="6" spans="1:29">
      <c r="A6" s="10"/>
      <c r="B6" s="104"/>
      <c r="C6" s="8"/>
      <c r="D6" s="8"/>
      <c r="E6" s="9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8"/>
      <c r="W6" s="8"/>
      <c r="X6" s="8"/>
      <c r="Y6" s="9"/>
      <c r="Z6" s="8"/>
      <c r="AA6" s="8"/>
      <c r="AB6" s="8"/>
      <c r="AC6" s="9"/>
    </row>
    <row r="7" spans="1:29">
      <c r="A7" s="124" t="s">
        <v>5</v>
      </c>
      <c r="B7" s="109">
        <f>'Sch TOU-PA Cust Fcst'!B6*'Non-Residential TSM UC Adj'!B7</f>
        <v>0</v>
      </c>
      <c r="C7" s="23">
        <f>'Sch TOU-PA Cust Fcst'!B6*'Non-Residential TSM UC Adj'!C7</f>
        <v>0</v>
      </c>
      <c r="D7" s="23">
        <f>'Sch TOU-PA Cust Fcst'!B6*'Non-Residential TSM UC Adj'!D7</f>
        <v>0</v>
      </c>
      <c r="E7" s="41">
        <f>IF(SUM(B7:D7)=0,0,SUM(B7:D7)/'Sch TOU-PA Cust Fcst'!B6)</f>
        <v>0</v>
      </c>
      <c r="F7" s="109">
        <f>'Sch TOU-PA Cust Fcst'!C6*'Non-Residential TSM UC Adj'!F7</f>
        <v>0</v>
      </c>
      <c r="G7" s="23">
        <f>'Sch TOU-PA Cust Fcst'!C6*'Non-Residential TSM UC Adj'!G7</f>
        <v>0</v>
      </c>
      <c r="H7" s="23">
        <f>'Sch TOU-PA Cust Fcst'!C6*'Non-Residential TSM UC Adj'!H7</f>
        <v>0</v>
      </c>
      <c r="I7" s="41">
        <f>IF(SUM(F7:H7)=0,0,SUM(F7:H7)/'Sch TOU-PA Cust Fcst'!C6)</f>
        <v>0</v>
      </c>
      <c r="J7" s="109">
        <f>'Sch TOU-PA Cust Fcst'!D6*'Non-Residential TSM UC Adj'!J7</f>
        <v>0</v>
      </c>
      <c r="K7" s="23">
        <f>'Sch TOU-PA Cust Fcst'!D6*'Non-Residential TSM UC Adj'!K7</f>
        <v>0</v>
      </c>
      <c r="L7" s="23">
        <f>'Sch TOU-PA Cust Fcst'!D6*'Non-Residential TSM UC Adj'!L7</f>
        <v>0</v>
      </c>
      <c r="M7" s="41">
        <f>IF(SUM(J7:L7)=0,0,SUM(J7:L7)/'Sch TOU-PA Cust Fcst'!D6)</f>
        <v>0</v>
      </c>
      <c r="N7" s="109">
        <f>'Sch TOU-PA Cust Fcst'!E6*'Non-Residential TSM UC Adj'!N7</f>
        <v>0</v>
      </c>
      <c r="O7" s="23">
        <f>'Sch TOU-PA Cust Fcst'!E6*'Non-Residential TSM UC Adj'!O7</f>
        <v>0</v>
      </c>
      <c r="P7" s="23">
        <f>'Sch TOU-PA Cust Fcst'!E6*'Non-Residential TSM UC Adj'!P7</f>
        <v>0</v>
      </c>
      <c r="Q7" s="41">
        <f>IF(SUM(N7:P7)=0,0,SUM(N7:P7)/'Sch TOU-PA Cust Fcst'!E6)</f>
        <v>0</v>
      </c>
      <c r="R7" s="109">
        <f>B7+F7+J7+N7</f>
        <v>0</v>
      </c>
      <c r="S7" s="23">
        <f>C7+G7+K7+O7</f>
        <v>0</v>
      </c>
      <c r="T7" s="23">
        <f>D7+H7+L7+P7</f>
        <v>0</v>
      </c>
      <c r="U7" s="41">
        <f>IF(SUM(R7:T7)=0,0,SUM(R7:T7)/'Sch TOU-PA Cust Fcst'!F6)</f>
        <v>0</v>
      </c>
      <c r="V7" s="33">
        <f>'Sch TOU-PA Cust Fcst'!G6*'Non-Residential TSM UC Adj'!R7</f>
        <v>0</v>
      </c>
      <c r="W7" s="23">
        <f>'Sch TOU-PA Cust Fcst'!G6*'Non-Residential TSM UC Adj'!S7</f>
        <v>0</v>
      </c>
      <c r="X7" s="23">
        <f>'Sch TOU-PA Cust Fcst'!G6*'Non-Residential TSM UC Adj'!T7</f>
        <v>0</v>
      </c>
      <c r="Y7" s="41">
        <f>IF(SUM(V7:X7)=0,0,SUM(V7:X7)/'Sch TOU-PA Cust Fcst'!G6)</f>
        <v>0</v>
      </c>
      <c r="Z7" s="23">
        <f>R7+V7</f>
        <v>0</v>
      </c>
      <c r="AA7" s="23">
        <f>S7+W7</f>
        <v>0</v>
      </c>
      <c r="AB7" s="23">
        <f>T7+X7</f>
        <v>0</v>
      </c>
      <c r="AC7" s="41">
        <f>IF(SUM(Z7:AB7)=0,0,SUM(Z7:AB7)/'Sch TOU-PA Cust Fcst'!H6)</f>
        <v>0</v>
      </c>
    </row>
    <row r="8" spans="1:29">
      <c r="A8" s="125" t="s">
        <v>6</v>
      </c>
      <c r="B8" s="109">
        <f>'Sch TOU-PA Cust Fcst'!B7*'Non-Residential TSM UC Adj'!B8</f>
        <v>0</v>
      </c>
      <c r="C8" s="23">
        <f>'Sch TOU-PA Cust Fcst'!B7*'Non-Residential TSM UC Adj'!C8</f>
        <v>0</v>
      </c>
      <c r="D8" s="23">
        <f>'Sch TOU-PA Cust Fcst'!B7*'Non-Residential TSM UC Adj'!D8</f>
        <v>0</v>
      </c>
      <c r="E8" s="41">
        <f>IF(SUM(B8:D8)=0,0,SUM(B8:D8)/'Sch TOU-PA Cust Fcst'!B7)</f>
        <v>0</v>
      </c>
      <c r="F8" s="109">
        <f>'Sch TOU-PA Cust Fcst'!C7*'Non-Residential TSM UC Adj'!F8</f>
        <v>0</v>
      </c>
      <c r="G8" s="23">
        <f>'Sch TOU-PA Cust Fcst'!C7*'Non-Residential TSM UC Adj'!G8</f>
        <v>0</v>
      </c>
      <c r="H8" s="23">
        <f>'Sch TOU-PA Cust Fcst'!C7*'Non-Residential TSM UC Adj'!H8</f>
        <v>0</v>
      </c>
      <c r="I8" s="41">
        <f>IF(SUM(F8:H8)=0,0,SUM(F8:H8)/'Sch TOU-PA Cust Fcst'!C7)</f>
        <v>0</v>
      </c>
      <c r="J8" s="109">
        <f>'Sch TOU-PA Cust Fcst'!D7*'Non-Residential TSM UC Adj'!J8</f>
        <v>0</v>
      </c>
      <c r="K8" s="23">
        <f>'Sch TOU-PA Cust Fcst'!D7*'Non-Residential TSM UC Adj'!K8</f>
        <v>0</v>
      </c>
      <c r="L8" s="23">
        <f>'Sch TOU-PA Cust Fcst'!D7*'Non-Residential TSM UC Adj'!L8</f>
        <v>0</v>
      </c>
      <c r="M8" s="41">
        <f>IF(SUM(J8:L8)=0,0,SUM(J8:L8)/'Sch TOU-PA Cust Fcst'!D7)</f>
        <v>0</v>
      </c>
      <c r="N8" s="109">
        <f>'Sch TOU-PA Cust Fcst'!E7*'Non-Residential TSM UC Adj'!N8</f>
        <v>1250.7417533879686</v>
      </c>
      <c r="O8" s="23">
        <f>'Sch TOU-PA Cust Fcst'!E7*'Non-Residential TSM UC Adj'!O8</f>
        <v>609.82032510065369</v>
      </c>
      <c r="P8" s="23">
        <f>'Sch TOU-PA Cust Fcst'!E7*'Non-Residential TSM UC Adj'!P8</f>
        <v>297.01685728884092</v>
      </c>
      <c r="Q8" s="41">
        <f>IF(SUM(N8:P8)=0,0,SUM(N8:P8)/'Sch TOU-PA Cust Fcst'!E7)</f>
        <v>2157.5789357774634</v>
      </c>
      <c r="R8" s="109">
        <f t="shared" ref="R8:T37" si="0">B8+F8+J8+N8</f>
        <v>1250.7417533879686</v>
      </c>
      <c r="S8" s="23">
        <f t="shared" si="0"/>
        <v>609.82032510065369</v>
      </c>
      <c r="T8" s="23">
        <f t="shared" si="0"/>
        <v>297.01685728884092</v>
      </c>
      <c r="U8" s="41">
        <f>IF(SUM(R8:T8)=0,0,SUM(R8:T8)/'Sch TOU-PA Cust Fcst'!F7)</f>
        <v>2157.5789357774634</v>
      </c>
      <c r="V8" s="33">
        <f>'Sch TOU-PA Cust Fcst'!G7*'Non-Residential TSM UC Adj'!R8</f>
        <v>0</v>
      </c>
      <c r="W8" s="23">
        <f>'Sch TOU-PA Cust Fcst'!G7*'Non-Residential TSM UC Adj'!S8</f>
        <v>0</v>
      </c>
      <c r="X8" s="23">
        <f>'Sch TOU-PA Cust Fcst'!G7*'Non-Residential TSM UC Adj'!T8</f>
        <v>0</v>
      </c>
      <c r="Y8" s="41">
        <f>IF(SUM(V8:X8)=0,0,SUM(V8:X8)/'Sch TOU-PA Cust Fcst'!G7)</f>
        <v>0</v>
      </c>
      <c r="Z8" s="23">
        <f t="shared" ref="Z8:AB37" si="1">R8+V8</f>
        <v>1250.7417533879686</v>
      </c>
      <c r="AA8" s="23">
        <f t="shared" si="1"/>
        <v>609.82032510065369</v>
      </c>
      <c r="AB8" s="23">
        <f t="shared" si="1"/>
        <v>297.01685728884092</v>
      </c>
      <c r="AC8" s="41">
        <f>IF(SUM(Z8:AB8)=0,0,SUM(Z8:AB8)/'Sch TOU-PA Cust Fcst'!H7)</f>
        <v>2157.5789357774634</v>
      </c>
    </row>
    <row r="9" spans="1:29">
      <c r="A9" s="126" t="s">
        <v>7</v>
      </c>
      <c r="B9" s="109">
        <f>'Sch TOU-PA Cust Fcst'!B8*'Non-Residential TSM UC Adj'!B9</f>
        <v>0</v>
      </c>
      <c r="C9" s="23">
        <f>'Sch TOU-PA Cust Fcst'!B8*'Non-Residential TSM UC Adj'!C9</f>
        <v>0</v>
      </c>
      <c r="D9" s="23">
        <f>'Sch TOU-PA Cust Fcst'!B8*'Non-Residential TSM UC Adj'!D9</f>
        <v>0</v>
      </c>
      <c r="E9" s="41">
        <f>IF(SUM(B9:D9)=0,0,SUM(B9:D9)/'Sch TOU-PA Cust Fcst'!B8)</f>
        <v>0</v>
      </c>
      <c r="F9" s="109">
        <f>'Sch TOU-PA Cust Fcst'!C8*'Non-Residential TSM UC Adj'!F9</f>
        <v>2016.8186560564311</v>
      </c>
      <c r="G9" s="23">
        <f>'Sch TOU-PA Cust Fcst'!C8*'Non-Residential TSM UC Adj'!G9</f>
        <v>718.29191911453245</v>
      </c>
      <c r="H9" s="23">
        <f>'Sch TOU-PA Cust Fcst'!C8*'Non-Residential TSM UC Adj'!H9</f>
        <v>297.01685728884092</v>
      </c>
      <c r="I9" s="41">
        <f>IF(SUM(F9:H9)=0,0,SUM(F9:H9)/'Sch TOU-PA Cust Fcst'!C8)</f>
        <v>3032.1274324598048</v>
      </c>
      <c r="J9" s="109">
        <f>'Sch TOU-PA Cust Fcst'!D8*'Non-Residential TSM UC Adj'!J9</f>
        <v>0</v>
      </c>
      <c r="K9" s="23">
        <f>'Sch TOU-PA Cust Fcst'!D8*'Non-Residential TSM UC Adj'!K9</f>
        <v>0</v>
      </c>
      <c r="L9" s="23">
        <f>'Sch TOU-PA Cust Fcst'!D8*'Non-Residential TSM UC Adj'!L9</f>
        <v>0</v>
      </c>
      <c r="M9" s="41">
        <f>IF(SUM(J9:L9)=0,0,SUM(J9:L9)/'Sch TOU-PA Cust Fcst'!D8)</f>
        <v>0</v>
      </c>
      <c r="N9" s="109">
        <f>'Sch TOU-PA Cust Fcst'!E8*'Non-Residential TSM UC Adj'!N9</f>
        <v>0</v>
      </c>
      <c r="O9" s="23">
        <f>'Sch TOU-PA Cust Fcst'!E8*'Non-Residential TSM UC Adj'!O9</f>
        <v>0</v>
      </c>
      <c r="P9" s="23">
        <f>'Sch TOU-PA Cust Fcst'!E8*'Non-Residential TSM UC Adj'!P9</f>
        <v>0</v>
      </c>
      <c r="Q9" s="41">
        <f>IF(SUM(N9:P9)=0,0,SUM(N9:P9)/'Sch TOU-PA Cust Fcst'!E8)</f>
        <v>0</v>
      </c>
      <c r="R9" s="109">
        <f t="shared" si="0"/>
        <v>2016.8186560564311</v>
      </c>
      <c r="S9" s="23">
        <f t="shared" si="0"/>
        <v>718.29191911453245</v>
      </c>
      <c r="T9" s="23">
        <f t="shared" si="0"/>
        <v>297.01685728884092</v>
      </c>
      <c r="U9" s="41">
        <f>IF(SUM(R9:T9)=0,0,SUM(R9:T9)/'Sch TOU-PA Cust Fcst'!F8)</f>
        <v>3032.1274324598048</v>
      </c>
      <c r="V9" s="33">
        <f>'Sch TOU-PA Cust Fcst'!G8*'Non-Residential TSM UC Adj'!R9</f>
        <v>0</v>
      </c>
      <c r="W9" s="23">
        <f>'Sch TOU-PA Cust Fcst'!G8*'Non-Residential TSM UC Adj'!S9</f>
        <v>0</v>
      </c>
      <c r="X9" s="23">
        <f>'Sch TOU-PA Cust Fcst'!G8*'Non-Residential TSM UC Adj'!T9</f>
        <v>0</v>
      </c>
      <c r="Y9" s="41">
        <f>IF(SUM(V9:X9)=0,0,SUM(V9:X9)/'Sch TOU-PA Cust Fcst'!G8)</f>
        <v>0</v>
      </c>
      <c r="Z9" s="23">
        <f t="shared" si="1"/>
        <v>2016.8186560564311</v>
      </c>
      <c r="AA9" s="23">
        <f t="shared" si="1"/>
        <v>718.29191911453245</v>
      </c>
      <c r="AB9" s="23">
        <f t="shared" si="1"/>
        <v>297.01685728884092</v>
      </c>
      <c r="AC9" s="41">
        <f>IF(SUM(Z9:AB9)=0,0,SUM(Z9:AB9)/'Sch TOU-PA Cust Fcst'!H8)</f>
        <v>3032.1274324598048</v>
      </c>
    </row>
    <row r="10" spans="1:29">
      <c r="A10" s="126" t="s">
        <v>191</v>
      </c>
      <c r="B10" s="109">
        <f>'Sch TOU-PA Cust Fcst'!B9*'Non-Residential TSM UC Adj'!B10</f>
        <v>0</v>
      </c>
      <c r="C10" s="23">
        <f>'Sch TOU-PA Cust Fcst'!B9*'Non-Residential TSM UC Adj'!C10</f>
        <v>0</v>
      </c>
      <c r="D10" s="23">
        <f>'Sch TOU-PA Cust Fcst'!B9*'Non-Residential TSM UC Adj'!D10</f>
        <v>0</v>
      </c>
      <c r="E10" s="41">
        <f>IF(SUM(B10:D10)=0,0,SUM(B10:D10)/'Sch TOU-PA Cust Fcst'!B9)</f>
        <v>0</v>
      </c>
      <c r="F10" s="109">
        <f>'Sch TOU-PA Cust Fcst'!C9*'Non-Residential TSM UC Adj'!F10</f>
        <v>0</v>
      </c>
      <c r="G10" s="23">
        <f>'Sch TOU-PA Cust Fcst'!C9*'Non-Residential TSM UC Adj'!G10</f>
        <v>0</v>
      </c>
      <c r="H10" s="23">
        <f>'Sch TOU-PA Cust Fcst'!C9*'Non-Residential TSM UC Adj'!H10</f>
        <v>0</v>
      </c>
      <c r="I10" s="41">
        <f>IF(SUM(F10:H10)=0,0,SUM(F10:H10)/'Sch TOU-PA Cust Fcst'!C9)</f>
        <v>0</v>
      </c>
      <c r="J10" s="109">
        <f>'Sch TOU-PA Cust Fcst'!D9*'Non-Residential TSM UC Adj'!J10</f>
        <v>0</v>
      </c>
      <c r="K10" s="23">
        <f>'Sch TOU-PA Cust Fcst'!D9*'Non-Residential TSM UC Adj'!K10</f>
        <v>0</v>
      </c>
      <c r="L10" s="23">
        <f>'Sch TOU-PA Cust Fcst'!D9*'Non-Residential TSM UC Adj'!L10</f>
        <v>0</v>
      </c>
      <c r="M10" s="41">
        <f>IF(SUM(J10:L10)=0,0,SUM(J10:L10)/'Sch TOU-PA Cust Fcst'!D9)</f>
        <v>0</v>
      </c>
      <c r="N10" s="109">
        <f>'Sch TOU-PA Cust Fcst'!E9*'Non-Residential TSM UC Adj'!N10</f>
        <v>0</v>
      </c>
      <c r="O10" s="23">
        <f>'Sch TOU-PA Cust Fcst'!E9*'Non-Residential TSM UC Adj'!O10</f>
        <v>0</v>
      </c>
      <c r="P10" s="23">
        <f>'Sch TOU-PA Cust Fcst'!E9*'Non-Residential TSM UC Adj'!P10</f>
        <v>0</v>
      </c>
      <c r="Q10" s="41">
        <f>IF(SUM(N10:P10)=0,0,SUM(N10:P10)/'Sch TOU-PA Cust Fcst'!E9)</f>
        <v>0</v>
      </c>
      <c r="R10" s="109">
        <f t="shared" si="0"/>
        <v>0</v>
      </c>
      <c r="S10" s="23">
        <f t="shared" si="0"/>
        <v>0</v>
      </c>
      <c r="T10" s="23">
        <f t="shared" si="0"/>
        <v>0</v>
      </c>
      <c r="U10" s="41">
        <f>IF(SUM(R10:T10)=0,0,SUM(R10:T10)/'Sch TOU-PA Cust Fcst'!F9)</f>
        <v>0</v>
      </c>
      <c r="V10" s="33">
        <f>'Sch TOU-PA Cust Fcst'!G9*'Non-Residential TSM UC Adj'!R10</f>
        <v>0</v>
      </c>
      <c r="W10" s="23">
        <f>'Sch TOU-PA Cust Fcst'!G9*'Non-Residential TSM UC Adj'!S10</f>
        <v>0</v>
      </c>
      <c r="X10" s="23">
        <f>'Sch TOU-PA Cust Fcst'!G9*'Non-Residential TSM UC Adj'!T10</f>
        <v>0</v>
      </c>
      <c r="Y10" s="41">
        <f>IF(SUM(V10:X10)=0,0,SUM(V10:X10)/'Sch TOU-PA Cust Fcst'!G9)</f>
        <v>0</v>
      </c>
      <c r="Z10" s="23">
        <f t="shared" si="1"/>
        <v>0</v>
      </c>
      <c r="AA10" s="23">
        <f t="shared" si="1"/>
        <v>0</v>
      </c>
      <c r="AB10" s="23">
        <f t="shared" si="1"/>
        <v>0</v>
      </c>
      <c r="AC10" s="41">
        <f>IF(SUM(Z10:AB10)=0,0,SUM(Z10:AB10)/'Sch TOU-PA Cust Fcst'!H9)</f>
        <v>0</v>
      </c>
    </row>
    <row r="11" spans="1:29">
      <c r="A11" s="126" t="s">
        <v>192</v>
      </c>
      <c r="B11" s="109">
        <f>'Sch TOU-PA Cust Fcst'!B10*'Non-Residential TSM UC Adj'!B11</f>
        <v>0</v>
      </c>
      <c r="C11" s="23">
        <f>'Sch TOU-PA Cust Fcst'!B10*'Non-Residential TSM UC Adj'!C11</f>
        <v>0</v>
      </c>
      <c r="D11" s="23">
        <f>'Sch TOU-PA Cust Fcst'!B10*'Non-Residential TSM UC Adj'!D11</f>
        <v>0</v>
      </c>
      <c r="E11" s="41">
        <f>IF(SUM(B11:D11)=0,0,SUM(B11:D11)/'Sch TOU-PA Cust Fcst'!B10)</f>
        <v>0</v>
      </c>
      <c r="F11" s="109">
        <f>'Sch TOU-PA Cust Fcst'!C10*'Non-Residential TSM UC Adj'!F11</f>
        <v>0</v>
      </c>
      <c r="G11" s="23">
        <f>'Sch TOU-PA Cust Fcst'!C10*'Non-Residential TSM UC Adj'!G11</f>
        <v>0</v>
      </c>
      <c r="H11" s="23">
        <f>'Sch TOU-PA Cust Fcst'!C10*'Non-Residential TSM UC Adj'!H11</f>
        <v>0</v>
      </c>
      <c r="I11" s="41">
        <f>IF(SUM(F11:H11)=0,0,SUM(F11:H11)/'Sch TOU-PA Cust Fcst'!C10)</f>
        <v>0</v>
      </c>
      <c r="J11" s="109">
        <f>'Sch TOU-PA Cust Fcst'!D10*'Non-Residential TSM UC Adj'!J11</f>
        <v>0</v>
      </c>
      <c r="K11" s="23">
        <f>'Sch TOU-PA Cust Fcst'!D10*'Non-Residential TSM UC Adj'!K11</f>
        <v>0</v>
      </c>
      <c r="L11" s="23">
        <f>'Sch TOU-PA Cust Fcst'!D10*'Non-Residential TSM UC Adj'!L11</f>
        <v>0</v>
      </c>
      <c r="M11" s="41">
        <f>IF(SUM(J11:L11)=0,0,SUM(J11:L11)/'Sch TOU-PA Cust Fcst'!D10)</f>
        <v>0</v>
      </c>
      <c r="N11" s="109">
        <f>'Sch TOU-PA Cust Fcst'!E10*'Non-Residential TSM UC Adj'!N11</f>
        <v>0</v>
      </c>
      <c r="O11" s="23">
        <f>'Sch TOU-PA Cust Fcst'!E10*'Non-Residential TSM UC Adj'!O11</f>
        <v>0</v>
      </c>
      <c r="P11" s="23">
        <f>'Sch TOU-PA Cust Fcst'!E10*'Non-Residential TSM UC Adj'!P11</f>
        <v>0</v>
      </c>
      <c r="Q11" s="41">
        <f>IF(SUM(N11:P11)=0,0,SUM(N11:P11)/'Sch TOU-PA Cust Fcst'!E10)</f>
        <v>0</v>
      </c>
      <c r="R11" s="109">
        <f t="shared" si="0"/>
        <v>0</v>
      </c>
      <c r="S11" s="23">
        <f t="shared" si="0"/>
        <v>0</v>
      </c>
      <c r="T11" s="23">
        <f t="shared" si="0"/>
        <v>0</v>
      </c>
      <c r="U11" s="41">
        <f>IF(SUM(R11:T11)=0,0,SUM(R11:T11)/'Sch TOU-PA Cust Fcst'!F10)</f>
        <v>0</v>
      </c>
      <c r="V11" s="33">
        <f>'Sch TOU-PA Cust Fcst'!G10*'Non-Residential TSM UC Adj'!R11</f>
        <v>0</v>
      </c>
      <c r="W11" s="23">
        <f>'Sch TOU-PA Cust Fcst'!G10*'Non-Residential TSM UC Adj'!S11</f>
        <v>0</v>
      </c>
      <c r="X11" s="23">
        <f>'Sch TOU-PA Cust Fcst'!G10*'Non-Residential TSM UC Adj'!T11</f>
        <v>0</v>
      </c>
      <c r="Y11" s="41">
        <f>IF(SUM(V11:X11)=0,0,SUM(V11:X11)/'Sch TOU-PA Cust Fcst'!G10)</f>
        <v>0</v>
      </c>
      <c r="Z11" s="23">
        <f t="shared" si="1"/>
        <v>0</v>
      </c>
      <c r="AA11" s="23">
        <f t="shared" si="1"/>
        <v>0</v>
      </c>
      <c r="AB11" s="23">
        <f t="shared" si="1"/>
        <v>0</v>
      </c>
      <c r="AC11" s="41">
        <f>IF(SUM(Z11:AB11)=0,0,SUM(Z11:AB11)/'Sch TOU-PA Cust Fcst'!H10)</f>
        <v>0</v>
      </c>
    </row>
    <row r="12" spans="1:29">
      <c r="A12" s="126" t="s">
        <v>8</v>
      </c>
      <c r="B12" s="109">
        <f>'Sch TOU-PA Cust Fcst'!B11*'Non-Residential TSM UC Adj'!B12</f>
        <v>0</v>
      </c>
      <c r="C12" s="23">
        <f>'Sch TOU-PA Cust Fcst'!B11*'Non-Residential TSM UC Adj'!C12</f>
        <v>0</v>
      </c>
      <c r="D12" s="23">
        <f>'Sch TOU-PA Cust Fcst'!B11*'Non-Residential TSM UC Adj'!D12</f>
        <v>0</v>
      </c>
      <c r="E12" s="41">
        <f>IF(SUM(B12:D12)=0,0,SUM(B12:D12)/'Sch TOU-PA Cust Fcst'!B11)</f>
        <v>0</v>
      </c>
      <c r="F12" s="109">
        <f>'Sch TOU-PA Cust Fcst'!C11*'Non-Residential TSM UC Adj'!F12</f>
        <v>0</v>
      </c>
      <c r="G12" s="23">
        <f>'Sch TOU-PA Cust Fcst'!C11*'Non-Residential TSM UC Adj'!G12</f>
        <v>0</v>
      </c>
      <c r="H12" s="23">
        <f>'Sch TOU-PA Cust Fcst'!C11*'Non-Residential TSM UC Adj'!H12</f>
        <v>0</v>
      </c>
      <c r="I12" s="41">
        <f>IF(SUM(F12:H12)=0,0,SUM(F12:H12)/'Sch TOU-PA Cust Fcst'!C11)</f>
        <v>0</v>
      </c>
      <c r="J12" s="109">
        <f>'Sch TOU-PA Cust Fcst'!D11*'Non-Residential TSM UC Adj'!J12</f>
        <v>0</v>
      </c>
      <c r="K12" s="23">
        <f>'Sch TOU-PA Cust Fcst'!D11*'Non-Residential TSM UC Adj'!K12</f>
        <v>0</v>
      </c>
      <c r="L12" s="23">
        <f>'Sch TOU-PA Cust Fcst'!D11*'Non-Residential TSM UC Adj'!L12</f>
        <v>0</v>
      </c>
      <c r="M12" s="41">
        <f>IF(SUM(J12:L12)=0,0,SUM(J12:L12)/'Sch TOU-PA Cust Fcst'!D11)</f>
        <v>0</v>
      </c>
      <c r="N12" s="109">
        <f>'Sch TOU-PA Cust Fcst'!E11*'Non-Residential TSM UC Adj'!N12</f>
        <v>0</v>
      </c>
      <c r="O12" s="23">
        <f>'Sch TOU-PA Cust Fcst'!E11*'Non-Residential TSM UC Adj'!O12</f>
        <v>0</v>
      </c>
      <c r="P12" s="23">
        <f>'Sch TOU-PA Cust Fcst'!E11*'Non-Residential TSM UC Adj'!P12</f>
        <v>0</v>
      </c>
      <c r="Q12" s="41">
        <f>IF(SUM(N12:P12)=0,0,SUM(N12:P12)/'Sch TOU-PA Cust Fcst'!E11)</f>
        <v>0</v>
      </c>
      <c r="R12" s="109">
        <f t="shared" si="0"/>
        <v>0</v>
      </c>
      <c r="S12" s="23">
        <f t="shared" si="0"/>
        <v>0</v>
      </c>
      <c r="T12" s="23">
        <f t="shared" si="0"/>
        <v>0</v>
      </c>
      <c r="U12" s="41">
        <f>IF(SUM(R12:T12)=0,0,SUM(R12:T12)/'Sch TOU-PA Cust Fcst'!F11)</f>
        <v>0</v>
      </c>
      <c r="V12" s="33">
        <f>'Sch TOU-PA Cust Fcst'!G11*'Non-Residential TSM UC Adj'!R12</f>
        <v>0</v>
      </c>
      <c r="W12" s="23">
        <f>'Sch TOU-PA Cust Fcst'!G11*'Non-Residential TSM UC Adj'!S12</f>
        <v>0</v>
      </c>
      <c r="X12" s="23">
        <f>'Sch TOU-PA Cust Fcst'!G11*'Non-Residential TSM UC Adj'!T12</f>
        <v>0</v>
      </c>
      <c r="Y12" s="41">
        <f>IF(SUM(V12:X12)=0,0,SUM(V12:X12)/'Sch TOU-PA Cust Fcst'!G11)</f>
        <v>0</v>
      </c>
      <c r="Z12" s="23">
        <f t="shared" si="1"/>
        <v>0</v>
      </c>
      <c r="AA12" s="23">
        <f t="shared" si="1"/>
        <v>0</v>
      </c>
      <c r="AB12" s="23">
        <f t="shared" si="1"/>
        <v>0</v>
      </c>
      <c r="AC12" s="41">
        <f>IF(SUM(Z12:AB12)=0,0,SUM(Z12:AB12)/'Sch TOU-PA Cust Fcst'!H11)</f>
        <v>0</v>
      </c>
    </row>
    <row r="13" spans="1:29">
      <c r="A13" s="126" t="s">
        <v>9</v>
      </c>
      <c r="B13" s="109">
        <f>'Sch TOU-PA Cust Fcst'!B12*'Non-Residential TSM UC Adj'!B13</f>
        <v>0</v>
      </c>
      <c r="C13" s="23">
        <f>'Sch TOU-PA Cust Fcst'!B12*'Non-Residential TSM UC Adj'!C13</f>
        <v>0</v>
      </c>
      <c r="D13" s="23">
        <f>'Sch TOU-PA Cust Fcst'!B12*'Non-Residential TSM UC Adj'!D13</f>
        <v>0</v>
      </c>
      <c r="E13" s="41">
        <f>IF(SUM(B13:D13)=0,0,SUM(B13:D13)/'Sch TOU-PA Cust Fcst'!B12)</f>
        <v>0</v>
      </c>
      <c r="F13" s="109">
        <f>'Sch TOU-PA Cust Fcst'!C12*'Non-Residential TSM UC Adj'!F13</f>
        <v>0</v>
      </c>
      <c r="G13" s="23">
        <f>'Sch TOU-PA Cust Fcst'!C12*'Non-Residential TSM UC Adj'!G13</f>
        <v>0</v>
      </c>
      <c r="H13" s="23">
        <f>'Sch TOU-PA Cust Fcst'!C12*'Non-Residential TSM UC Adj'!H13</f>
        <v>0</v>
      </c>
      <c r="I13" s="41">
        <f>IF(SUM(F13:H13)=0,0,SUM(F13:H13)/'Sch TOU-PA Cust Fcst'!C12)</f>
        <v>0</v>
      </c>
      <c r="J13" s="109">
        <f>'Sch TOU-PA Cust Fcst'!D12*'Non-Residential TSM UC Adj'!J13</f>
        <v>0</v>
      </c>
      <c r="K13" s="23">
        <f>'Sch TOU-PA Cust Fcst'!D12*'Non-Residential TSM UC Adj'!K13</f>
        <v>0</v>
      </c>
      <c r="L13" s="23">
        <f>'Sch TOU-PA Cust Fcst'!D12*'Non-Residential TSM UC Adj'!L13</f>
        <v>0</v>
      </c>
      <c r="M13" s="41">
        <f>IF(SUM(J13:L13)=0,0,SUM(J13:L13)/'Sch TOU-PA Cust Fcst'!D12)</f>
        <v>0</v>
      </c>
      <c r="N13" s="109">
        <f>'Sch TOU-PA Cust Fcst'!E12*'Non-Residential TSM UC Adj'!N13</f>
        <v>0</v>
      </c>
      <c r="O13" s="23">
        <f>'Sch TOU-PA Cust Fcst'!E12*'Non-Residential TSM UC Adj'!O13</f>
        <v>0</v>
      </c>
      <c r="P13" s="23">
        <f>'Sch TOU-PA Cust Fcst'!E12*'Non-Residential TSM UC Adj'!P13</f>
        <v>0</v>
      </c>
      <c r="Q13" s="41">
        <f>IF(SUM(N13:P13)=0,0,SUM(N13:P13)/'Sch TOU-PA Cust Fcst'!E12)</f>
        <v>0</v>
      </c>
      <c r="R13" s="109">
        <f t="shared" si="0"/>
        <v>0</v>
      </c>
      <c r="S13" s="23">
        <f t="shared" si="0"/>
        <v>0</v>
      </c>
      <c r="T13" s="23">
        <f t="shared" si="0"/>
        <v>0</v>
      </c>
      <c r="U13" s="41">
        <f>IF(SUM(R13:T13)=0,0,SUM(R13:T13)/'Sch TOU-PA Cust Fcst'!F12)</f>
        <v>0</v>
      </c>
      <c r="V13" s="33">
        <f>'Sch TOU-PA Cust Fcst'!G12*'Non-Residential TSM UC Adj'!R13</f>
        <v>0</v>
      </c>
      <c r="W13" s="23">
        <f>'Sch TOU-PA Cust Fcst'!G12*'Non-Residential TSM UC Adj'!S13</f>
        <v>0</v>
      </c>
      <c r="X13" s="23">
        <f>'Sch TOU-PA Cust Fcst'!G12*'Non-Residential TSM UC Adj'!T13</f>
        <v>0</v>
      </c>
      <c r="Y13" s="41">
        <f>IF(SUM(V13:X13)=0,0,SUM(V13:X13)/'Sch TOU-PA Cust Fcst'!G12)</f>
        <v>0</v>
      </c>
      <c r="Z13" s="23">
        <f t="shared" si="1"/>
        <v>0</v>
      </c>
      <c r="AA13" s="23">
        <f t="shared" si="1"/>
        <v>0</v>
      </c>
      <c r="AB13" s="23">
        <f t="shared" si="1"/>
        <v>0</v>
      </c>
      <c r="AC13" s="41">
        <f>IF(SUM(Z13:AB13)=0,0,SUM(Z13:AB13)/'Sch TOU-PA Cust Fcst'!H12)</f>
        <v>0</v>
      </c>
    </row>
    <row r="14" spans="1:29">
      <c r="A14" s="126" t="s">
        <v>10</v>
      </c>
      <c r="B14" s="109">
        <f>'Sch TOU-PA Cust Fcst'!B13*'Non-Residential TSM UC Adj'!B14</f>
        <v>0</v>
      </c>
      <c r="C14" s="23">
        <f>'Sch TOU-PA Cust Fcst'!B13*'Non-Residential TSM UC Adj'!C14</f>
        <v>0</v>
      </c>
      <c r="D14" s="23">
        <f>'Sch TOU-PA Cust Fcst'!B13*'Non-Residential TSM UC Adj'!D14</f>
        <v>0</v>
      </c>
      <c r="E14" s="41">
        <f>IF(SUM(B14:D14)=0,0,SUM(B14:D14)/'Sch TOU-PA Cust Fcst'!B13)</f>
        <v>0</v>
      </c>
      <c r="F14" s="109">
        <f>'Sch TOU-PA Cust Fcst'!C13*'Non-Residential TSM UC Adj'!F14</f>
        <v>0</v>
      </c>
      <c r="G14" s="23">
        <f>'Sch TOU-PA Cust Fcst'!C13*'Non-Residential TSM UC Adj'!G14</f>
        <v>0</v>
      </c>
      <c r="H14" s="23">
        <f>'Sch TOU-PA Cust Fcst'!C13*'Non-Residential TSM UC Adj'!H14</f>
        <v>0</v>
      </c>
      <c r="I14" s="41">
        <f>IF(SUM(F14:H14)=0,0,SUM(F14:H14)/'Sch TOU-PA Cust Fcst'!C13)</f>
        <v>0</v>
      </c>
      <c r="J14" s="109">
        <f>'Sch TOU-PA Cust Fcst'!D13*'Non-Residential TSM UC Adj'!J14</f>
        <v>0</v>
      </c>
      <c r="K14" s="23">
        <f>'Sch TOU-PA Cust Fcst'!D13*'Non-Residential TSM UC Adj'!K14</f>
        <v>0</v>
      </c>
      <c r="L14" s="23">
        <f>'Sch TOU-PA Cust Fcst'!D13*'Non-Residential TSM UC Adj'!L14</f>
        <v>0</v>
      </c>
      <c r="M14" s="41">
        <f>IF(SUM(J14:L14)=0,0,SUM(J14:L14)/'Sch TOU-PA Cust Fcst'!D13)</f>
        <v>0</v>
      </c>
      <c r="N14" s="109">
        <f>'Sch TOU-PA Cust Fcst'!E13*'Non-Residential TSM UC Adj'!N14</f>
        <v>0</v>
      </c>
      <c r="O14" s="23">
        <f>'Sch TOU-PA Cust Fcst'!E13*'Non-Residential TSM UC Adj'!O14</f>
        <v>0</v>
      </c>
      <c r="P14" s="23">
        <f>'Sch TOU-PA Cust Fcst'!E13*'Non-Residential TSM UC Adj'!P14</f>
        <v>0</v>
      </c>
      <c r="Q14" s="41">
        <f>IF(SUM(N14:P14)=0,0,SUM(N14:P14)/'Sch TOU-PA Cust Fcst'!E13)</f>
        <v>0</v>
      </c>
      <c r="R14" s="109">
        <f t="shared" si="0"/>
        <v>0</v>
      </c>
      <c r="S14" s="23">
        <f t="shared" si="0"/>
        <v>0</v>
      </c>
      <c r="T14" s="23">
        <f t="shared" si="0"/>
        <v>0</v>
      </c>
      <c r="U14" s="41">
        <f>IF(SUM(R14:T14)=0,0,SUM(R14:T14)/'Sch TOU-PA Cust Fcst'!F13)</f>
        <v>0</v>
      </c>
      <c r="V14" s="33">
        <f>'Sch TOU-PA Cust Fcst'!G13*'Non-Residential TSM UC Adj'!R14</f>
        <v>0</v>
      </c>
      <c r="W14" s="23">
        <f>'Sch TOU-PA Cust Fcst'!G13*'Non-Residential TSM UC Adj'!S14</f>
        <v>0</v>
      </c>
      <c r="X14" s="23">
        <f>'Sch TOU-PA Cust Fcst'!G13*'Non-Residential TSM UC Adj'!T14</f>
        <v>0</v>
      </c>
      <c r="Y14" s="41">
        <f>IF(SUM(V14:X14)=0,0,SUM(V14:X14)/'Sch TOU-PA Cust Fcst'!G13)</f>
        <v>0</v>
      </c>
      <c r="Z14" s="23">
        <f t="shared" si="1"/>
        <v>0</v>
      </c>
      <c r="AA14" s="23">
        <f t="shared" si="1"/>
        <v>0</v>
      </c>
      <c r="AB14" s="23">
        <f t="shared" si="1"/>
        <v>0</v>
      </c>
      <c r="AC14" s="41">
        <f>IF(SUM(Z14:AB14)=0,0,SUM(Z14:AB14)/'Sch TOU-PA Cust Fcst'!H13)</f>
        <v>0</v>
      </c>
    </row>
    <row r="15" spans="1:29">
      <c r="A15" s="126" t="s">
        <v>11</v>
      </c>
      <c r="B15" s="109">
        <f>'Sch TOU-PA Cust Fcst'!B14*'Non-Residential TSM UC Adj'!B15</f>
        <v>0</v>
      </c>
      <c r="C15" s="23">
        <f>'Sch TOU-PA Cust Fcst'!B14*'Non-Residential TSM UC Adj'!C15</f>
        <v>0</v>
      </c>
      <c r="D15" s="23">
        <f>'Sch TOU-PA Cust Fcst'!B14*'Non-Residential TSM UC Adj'!D15</f>
        <v>0</v>
      </c>
      <c r="E15" s="41">
        <f>IF(SUM(B15:D15)=0,0,SUM(B15:D15)/'Sch TOU-PA Cust Fcst'!B14)</f>
        <v>0</v>
      </c>
      <c r="F15" s="109">
        <f>'Sch TOU-PA Cust Fcst'!C14*'Non-Residential TSM UC Adj'!F15</f>
        <v>0</v>
      </c>
      <c r="G15" s="23">
        <f>'Sch TOU-PA Cust Fcst'!C14*'Non-Residential TSM UC Adj'!G15</f>
        <v>0</v>
      </c>
      <c r="H15" s="23">
        <f>'Sch TOU-PA Cust Fcst'!C14*'Non-Residential TSM UC Adj'!H15</f>
        <v>0</v>
      </c>
      <c r="I15" s="41">
        <f>IF(SUM(F15:H15)=0,0,SUM(F15:H15)/'Sch TOU-PA Cust Fcst'!C14)</f>
        <v>0</v>
      </c>
      <c r="J15" s="109">
        <f>'Sch TOU-PA Cust Fcst'!D14*'Non-Residential TSM UC Adj'!J15</f>
        <v>0</v>
      </c>
      <c r="K15" s="23">
        <f>'Sch TOU-PA Cust Fcst'!D14*'Non-Residential TSM UC Adj'!K15</f>
        <v>0</v>
      </c>
      <c r="L15" s="23">
        <f>'Sch TOU-PA Cust Fcst'!D14*'Non-Residential TSM UC Adj'!L15</f>
        <v>0</v>
      </c>
      <c r="M15" s="41">
        <f>IF(SUM(J15:L15)=0,0,SUM(J15:L15)/'Sch TOU-PA Cust Fcst'!D14)</f>
        <v>0</v>
      </c>
      <c r="N15" s="109">
        <f>'Sch TOU-PA Cust Fcst'!E14*'Non-Residential TSM UC Adj'!N15</f>
        <v>0</v>
      </c>
      <c r="O15" s="23">
        <f>'Sch TOU-PA Cust Fcst'!E14*'Non-Residential TSM UC Adj'!O15</f>
        <v>0</v>
      </c>
      <c r="P15" s="23">
        <f>'Sch TOU-PA Cust Fcst'!E14*'Non-Residential TSM UC Adj'!P15</f>
        <v>0</v>
      </c>
      <c r="Q15" s="41">
        <f>IF(SUM(N15:P15)=0,0,SUM(N15:P15)/'Sch TOU-PA Cust Fcst'!E14)</f>
        <v>0</v>
      </c>
      <c r="R15" s="109">
        <f t="shared" si="0"/>
        <v>0</v>
      </c>
      <c r="S15" s="23">
        <f t="shared" si="0"/>
        <v>0</v>
      </c>
      <c r="T15" s="23">
        <f t="shared" si="0"/>
        <v>0</v>
      </c>
      <c r="U15" s="41">
        <f>IF(SUM(R15:T15)=0,0,SUM(R15:T15)/'Sch TOU-PA Cust Fcst'!F14)</f>
        <v>0</v>
      </c>
      <c r="V15" s="33">
        <f>'Sch TOU-PA Cust Fcst'!G14*'Non-Residential TSM UC Adj'!R15</f>
        <v>0</v>
      </c>
      <c r="W15" s="23">
        <f>'Sch TOU-PA Cust Fcst'!G14*'Non-Residential TSM UC Adj'!S15</f>
        <v>0</v>
      </c>
      <c r="X15" s="23">
        <f>'Sch TOU-PA Cust Fcst'!G14*'Non-Residential TSM UC Adj'!T15</f>
        <v>0</v>
      </c>
      <c r="Y15" s="41">
        <f>IF(SUM(V15:X15)=0,0,SUM(V15:X15)/'Sch TOU-PA Cust Fcst'!G14)</f>
        <v>0</v>
      </c>
      <c r="Z15" s="23">
        <f t="shared" si="1"/>
        <v>0</v>
      </c>
      <c r="AA15" s="23">
        <f t="shared" si="1"/>
        <v>0</v>
      </c>
      <c r="AB15" s="23">
        <f t="shared" si="1"/>
        <v>0</v>
      </c>
      <c r="AC15" s="41">
        <f>IF(SUM(Z15:AB15)=0,0,SUM(Z15:AB15)/'Sch TOU-PA Cust Fcst'!H14)</f>
        <v>0</v>
      </c>
    </row>
    <row r="16" spans="1:29">
      <c r="A16" s="126" t="s">
        <v>106</v>
      </c>
      <c r="B16" s="109">
        <f>'Sch TOU-PA Cust Fcst'!B15*'Non-Residential TSM UC Adj'!B16</f>
        <v>0</v>
      </c>
      <c r="C16" s="23">
        <f>'Sch TOU-PA Cust Fcst'!B15*'Non-Residential TSM UC Adj'!C16</f>
        <v>0</v>
      </c>
      <c r="D16" s="23">
        <f>'Sch TOU-PA Cust Fcst'!B15*'Non-Residential TSM UC Adj'!D16</f>
        <v>0</v>
      </c>
      <c r="E16" s="41">
        <f>IF(SUM(B16:D16)=0,0,SUM(B16:D16)/'Sch TOU-PA Cust Fcst'!B15)</f>
        <v>0</v>
      </c>
      <c r="F16" s="109">
        <f>'Sch TOU-PA Cust Fcst'!C15*'Non-Residential TSM UC Adj'!F16</f>
        <v>0</v>
      </c>
      <c r="G16" s="23">
        <f>'Sch TOU-PA Cust Fcst'!C15*'Non-Residential TSM UC Adj'!G16</f>
        <v>0</v>
      </c>
      <c r="H16" s="23">
        <f>'Sch TOU-PA Cust Fcst'!C15*'Non-Residential TSM UC Adj'!H16</f>
        <v>0</v>
      </c>
      <c r="I16" s="41">
        <f>IF(SUM(F16:H16)=0,0,SUM(F16:H16)/'Sch TOU-PA Cust Fcst'!C15)</f>
        <v>0</v>
      </c>
      <c r="J16" s="109">
        <f>'Sch TOU-PA Cust Fcst'!D15*'Non-Residential TSM UC Adj'!J16</f>
        <v>0</v>
      </c>
      <c r="K16" s="23">
        <f>'Sch TOU-PA Cust Fcst'!D15*'Non-Residential TSM UC Adj'!K16</f>
        <v>0</v>
      </c>
      <c r="L16" s="23">
        <f>'Sch TOU-PA Cust Fcst'!D15*'Non-Residential TSM UC Adj'!L16</f>
        <v>0</v>
      </c>
      <c r="M16" s="41">
        <f>IF(SUM(J16:L16)=0,0,SUM(J16:L16)/'Sch TOU-PA Cust Fcst'!D15)</f>
        <v>0</v>
      </c>
      <c r="N16" s="109">
        <f>'Sch TOU-PA Cust Fcst'!E15*'Non-Residential TSM UC Adj'!N16</f>
        <v>0</v>
      </c>
      <c r="O16" s="23">
        <f>'Sch TOU-PA Cust Fcst'!E15*'Non-Residential TSM UC Adj'!O16</f>
        <v>0</v>
      </c>
      <c r="P16" s="23">
        <f>'Sch TOU-PA Cust Fcst'!E15*'Non-Residential TSM UC Adj'!P16</f>
        <v>0</v>
      </c>
      <c r="Q16" s="41">
        <f>IF(SUM(N16:P16)=0,0,SUM(N16:P16)/'Sch TOU-PA Cust Fcst'!E15)</f>
        <v>0</v>
      </c>
      <c r="R16" s="109">
        <f t="shared" si="0"/>
        <v>0</v>
      </c>
      <c r="S16" s="23">
        <f t="shared" si="0"/>
        <v>0</v>
      </c>
      <c r="T16" s="23">
        <f t="shared" si="0"/>
        <v>0</v>
      </c>
      <c r="U16" s="41">
        <f>IF(SUM(R16:T16)=0,0,SUM(R16:T16)/'Sch TOU-PA Cust Fcst'!F15)</f>
        <v>0</v>
      </c>
      <c r="V16" s="33">
        <f>'Sch TOU-PA Cust Fcst'!G15*'Non-Residential TSM UC Adj'!R16</f>
        <v>0</v>
      </c>
      <c r="W16" s="23">
        <f>'Sch TOU-PA Cust Fcst'!G15*'Non-Residential TSM UC Adj'!S16</f>
        <v>0</v>
      </c>
      <c r="X16" s="23">
        <f>'Sch TOU-PA Cust Fcst'!G15*'Non-Residential TSM UC Adj'!T16</f>
        <v>0</v>
      </c>
      <c r="Y16" s="41">
        <f>IF(SUM(V16:X16)=0,0,SUM(V16:X16)/'Sch TOU-PA Cust Fcst'!G15)</f>
        <v>0</v>
      </c>
      <c r="Z16" s="23">
        <f t="shared" si="1"/>
        <v>0</v>
      </c>
      <c r="AA16" s="23">
        <f t="shared" si="1"/>
        <v>0</v>
      </c>
      <c r="AB16" s="23">
        <f t="shared" si="1"/>
        <v>0</v>
      </c>
      <c r="AC16" s="41">
        <f>IF(SUM(Z16:AB16)=0,0,SUM(Z16:AB16)/'Sch TOU-PA Cust Fcst'!H15)</f>
        <v>0</v>
      </c>
    </row>
    <row r="17" spans="1:29">
      <c r="A17" s="126" t="s">
        <v>107</v>
      </c>
      <c r="B17" s="109">
        <f>'Sch TOU-PA Cust Fcst'!B16*'Non-Residential TSM UC Adj'!J17</f>
        <v>0</v>
      </c>
      <c r="C17" s="23">
        <f>'Sch TOU-PA Cust Fcst'!B16*'Non-Residential TSM UC Adj'!K17</f>
        <v>0</v>
      </c>
      <c r="D17" s="23">
        <f>'Sch TOU-PA Cust Fcst'!B16*'Non-Residential TSM UC Adj'!L17</f>
        <v>0</v>
      </c>
      <c r="E17" s="41">
        <f>IF(SUM(B17:D17)=0,0,SUM(B17:D17)/'Sch TOU-PA Cust Fcst'!B16)</f>
        <v>0</v>
      </c>
      <c r="F17" s="109">
        <f>'Sch TOU-PA Cust Fcst'!C16*'Non-Residential TSM UC Adj'!F17</f>
        <v>0</v>
      </c>
      <c r="G17" s="23">
        <f>'Sch TOU-PA Cust Fcst'!C16*'Non-Residential TSM UC Adj'!G17</f>
        <v>0</v>
      </c>
      <c r="H17" s="23">
        <f>'Sch TOU-PA Cust Fcst'!C16*'Non-Residential TSM UC Adj'!H17</f>
        <v>0</v>
      </c>
      <c r="I17" s="41">
        <f>IF(SUM(F17:H17)=0,0,SUM(F17:H17)/'Sch TOU-PA Cust Fcst'!C16)</f>
        <v>0</v>
      </c>
      <c r="J17" s="109">
        <f>'Sch TOU-PA Cust Fcst'!D16*'Non-Residential TSM UC Adj'!J17</f>
        <v>0</v>
      </c>
      <c r="K17" s="23">
        <f>'Sch TOU-PA Cust Fcst'!D16*'Non-Residential TSM UC Adj'!K17</f>
        <v>0</v>
      </c>
      <c r="L17" s="23">
        <f>'Sch TOU-PA Cust Fcst'!D16*'Non-Residential TSM UC Adj'!L17</f>
        <v>0</v>
      </c>
      <c r="M17" s="41">
        <f>IF(SUM(J17:L17)=0,0,SUM(J17:L17)/'Sch TOU-PA Cust Fcst'!D16)</f>
        <v>0</v>
      </c>
      <c r="N17" s="109">
        <f>'Sch TOU-PA Cust Fcst'!E16*'Non-Residential TSM UC Adj'!N17</f>
        <v>0</v>
      </c>
      <c r="O17" s="23">
        <f>'Sch TOU-PA Cust Fcst'!E16*'Non-Residential TSM UC Adj'!O17</f>
        <v>0</v>
      </c>
      <c r="P17" s="23">
        <f>'Sch TOU-PA Cust Fcst'!E16*'Non-Residential TSM UC Adj'!P17</f>
        <v>0</v>
      </c>
      <c r="Q17" s="41">
        <f>IF(SUM(N17:P17)=0,0,SUM(N17:P17)/'Sch TOU-PA Cust Fcst'!E16)</f>
        <v>0</v>
      </c>
      <c r="R17" s="109">
        <f t="shared" si="0"/>
        <v>0</v>
      </c>
      <c r="S17" s="23">
        <f t="shared" si="0"/>
        <v>0</v>
      </c>
      <c r="T17" s="23">
        <f t="shared" si="0"/>
        <v>0</v>
      </c>
      <c r="U17" s="41">
        <f>IF(SUM(R17:T17)=0,0,SUM(R17:T17)/'Sch TOU-PA Cust Fcst'!F16)</f>
        <v>0</v>
      </c>
      <c r="V17" s="33">
        <f>'Sch TOU-PA Cust Fcst'!G16*'Non-Residential TSM UC Adj'!R17</f>
        <v>0</v>
      </c>
      <c r="W17" s="23">
        <f>'Sch TOU-PA Cust Fcst'!G16*'Non-Residential TSM UC Adj'!S17</f>
        <v>0</v>
      </c>
      <c r="X17" s="23">
        <f>'Sch TOU-PA Cust Fcst'!G16*'Non-Residential TSM UC Adj'!T17</f>
        <v>0</v>
      </c>
      <c r="Y17" s="41">
        <f>IF(SUM(V17:X17)=0,0,SUM(V17:X17)/'Sch TOU-PA Cust Fcst'!G16)</f>
        <v>0</v>
      </c>
      <c r="Z17" s="23">
        <f t="shared" si="1"/>
        <v>0</v>
      </c>
      <c r="AA17" s="23">
        <f t="shared" si="1"/>
        <v>0</v>
      </c>
      <c r="AB17" s="23">
        <f t="shared" si="1"/>
        <v>0</v>
      </c>
      <c r="AC17" s="41">
        <f>IF(SUM(Z17:AB17)=0,0,SUM(Z17:AB17)/'Sch TOU-PA Cust Fcst'!H16)</f>
        <v>0</v>
      </c>
    </row>
    <row r="18" spans="1:29">
      <c r="A18" s="126" t="s">
        <v>12</v>
      </c>
      <c r="B18" s="109">
        <f>'Sch TOU-PA Cust Fcst'!B17*'Non-Residential TSM UC Adj'!J18</f>
        <v>0</v>
      </c>
      <c r="C18" s="23">
        <f>'Sch TOU-PA Cust Fcst'!B17*'Non-Residential TSM UC Adj'!K18</f>
        <v>0</v>
      </c>
      <c r="D18" s="23">
        <f>'Sch TOU-PA Cust Fcst'!B17*'Non-Residential TSM UC Adj'!L18</f>
        <v>0</v>
      </c>
      <c r="E18" s="41">
        <f>IF(SUM(B18:D18)=0,0,SUM(B18:D18)/'Sch TOU-PA Cust Fcst'!B17)</f>
        <v>0</v>
      </c>
      <c r="F18" s="109">
        <f>'Sch TOU-PA Cust Fcst'!C17*'Non-Residential TSM UC Adj'!J18</f>
        <v>0</v>
      </c>
      <c r="G18" s="23">
        <f>'Sch TOU-PA Cust Fcst'!C17*'Non-Residential TSM UC Adj'!K18</f>
        <v>0</v>
      </c>
      <c r="H18" s="23">
        <f>'Sch TOU-PA Cust Fcst'!C17*'Non-Residential TSM UC Adj'!L18</f>
        <v>0</v>
      </c>
      <c r="I18" s="41">
        <f>IF(SUM(F18:H18)=0,0,SUM(F18:H18)/'Sch TOU-PA Cust Fcst'!C17)</f>
        <v>0</v>
      </c>
      <c r="J18" s="109">
        <f>'Sch TOU-PA Cust Fcst'!D17*'Non-Residential TSM UC Adj'!J18</f>
        <v>0</v>
      </c>
      <c r="K18" s="23">
        <f>'Sch TOU-PA Cust Fcst'!D17*'Non-Residential TSM UC Adj'!K18</f>
        <v>0</v>
      </c>
      <c r="L18" s="23">
        <f>'Sch TOU-PA Cust Fcst'!D17*'Non-Residential TSM UC Adj'!L18</f>
        <v>0</v>
      </c>
      <c r="M18" s="41">
        <f>IF(SUM(J18:L18)=0,0,SUM(J18:L18)/'Sch TOU-PA Cust Fcst'!D17)</f>
        <v>0</v>
      </c>
      <c r="N18" s="109">
        <f>'Sch TOU-PA Cust Fcst'!E17*'Non-Residential TSM UC Adj'!N18</f>
        <v>0</v>
      </c>
      <c r="O18" s="23">
        <f>'Sch TOU-PA Cust Fcst'!E17*'Non-Residential TSM UC Adj'!O18</f>
        <v>0</v>
      </c>
      <c r="P18" s="23">
        <f>'Sch TOU-PA Cust Fcst'!E17*'Non-Residential TSM UC Adj'!P18</f>
        <v>0</v>
      </c>
      <c r="Q18" s="41">
        <f>IF(SUM(N18:P18)=0,0,SUM(N18:P18)/'Sch TOU-PA Cust Fcst'!E17)</f>
        <v>0</v>
      </c>
      <c r="R18" s="109">
        <f t="shared" si="0"/>
        <v>0</v>
      </c>
      <c r="S18" s="23">
        <f t="shared" si="0"/>
        <v>0</v>
      </c>
      <c r="T18" s="23">
        <f t="shared" si="0"/>
        <v>0</v>
      </c>
      <c r="U18" s="41">
        <f>IF(SUM(R18:T18)=0,0,SUM(R18:T18)/'Sch TOU-PA Cust Fcst'!F17)</f>
        <v>0</v>
      </c>
      <c r="V18" s="33">
        <f>'Sch TOU-PA Cust Fcst'!G17*'Non-Residential TSM UC Adj'!R18</f>
        <v>0</v>
      </c>
      <c r="W18" s="23">
        <f>'Sch TOU-PA Cust Fcst'!G17*'Non-Residential TSM UC Adj'!S18</f>
        <v>0</v>
      </c>
      <c r="X18" s="23">
        <f>'Sch TOU-PA Cust Fcst'!G17*'Non-Residential TSM UC Adj'!T18</f>
        <v>0</v>
      </c>
      <c r="Y18" s="41">
        <f>IF(SUM(V18:X18)=0,0,SUM(V18:X18)/'Sch TOU-PA Cust Fcst'!G17)</f>
        <v>0</v>
      </c>
      <c r="Z18" s="23">
        <f t="shared" si="1"/>
        <v>0</v>
      </c>
      <c r="AA18" s="23">
        <f t="shared" si="1"/>
        <v>0</v>
      </c>
      <c r="AB18" s="23">
        <f t="shared" si="1"/>
        <v>0</v>
      </c>
      <c r="AC18" s="41">
        <f>IF(SUM(Z18:AB18)=0,0,SUM(Z18:AB18)/'Sch TOU-PA Cust Fcst'!H17)</f>
        <v>0</v>
      </c>
    </row>
    <row r="19" spans="1:29">
      <c r="A19" s="126" t="s">
        <v>13</v>
      </c>
      <c r="B19" s="109">
        <f>'Sch TOU-PA Cust Fcst'!B18*'Non-Residential TSM UC Adj'!J19</f>
        <v>0</v>
      </c>
      <c r="C19" s="23">
        <f>'Sch TOU-PA Cust Fcst'!B18*'Non-Residential TSM UC Adj'!K19</f>
        <v>0</v>
      </c>
      <c r="D19" s="23">
        <f>'Sch TOU-PA Cust Fcst'!B18*'Non-Residential TSM UC Adj'!L19</f>
        <v>0</v>
      </c>
      <c r="E19" s="41">
        <f>IF(SUM(B19:D19)=0,0,SUM(B19:D19)/'Sch TOU-PA Cust Fcst'!B18)</f>
        <v>0</v>
      </c>
      <c r="F19" s="109">
        <f>'Sch TOU-PA Cust Fcst'!C18*'Non-Residential TSM UC Adj'!J19</f>
        <v>0</v>
      </c>
      <c r="G19" s="23">
        <f>'Sch TOU-PA Cust Fcst'!C18*'Non-Residential TSM UC Adj'!K19</f>
        <v>0</v>
      </c>
      <c r="H19" s="23">
        <f>'Sch TOU-PA Cust Fcst'!C18*'Non-Residential TSM UC Adj'!L19</f>
        <v>0</v>
      </c>
      <c r="I19" s="41">
        <f>IF(SUM(F19:H19)=0,0,SUM(F19:H19)/'Sch TOU-PA Cust Fcst'!C18)</f>
        <v>0</v>
      </c>
      <c r="J19" s="109">
        <f>'Sch TOU-PA Cust Fcst'!D18*'Non-Residential TSM UC Adj'!J19</f>
        <v>0</v>
      </c>
      <c r="K19" s="23">
        <f>'Sch TOU-PA Cust Fcst'!D18*'Non-Residential TSM UC Adj'!K19</f>
        <v>0</v>
      </c>
      <c r="L19" s="23">
        <f>'Sch TOU-PA Cust Fcst'!D18*'Non-Residential TSM UC Adj'!L19</f>
        <v>0</v>
      </c>
      <c r="M19" s="41">
        <f>IF(SUM(J19:L19)=0,0,SUM(J19:L19)/'Sch TOU-PA Cust Fcst'!D18)</f>
        <v>0</v>
      </c>
      <c r="N19" s="109">
        <f>'Sch TOU-PA Cust Fcst'!E18*'Non-Residential TSM UC Adj'!N19</f>
        <v>0</v>
      </c>
      <c r="O19" s="23">
        <f>'Sch TOU-PA Cust Fcst'!E18*'Non-Residential TSM UC Adj'!O19</f>
        <v>0</v>
      </c>
      <c r="P19" s="23">
        <f>'Sch TOU-PA Cust Fcst'!E18*'Non-Residential TSM UC Adj'!P19</f>
        <v>0</v>
      </c>
      <c r="Q19" s="41">
        <f>IF(SUM(N19:P19)=0,0,SUM(N19:P19)/'Sch TOU-PA Cust Fcst'!E18)</f>
        <v>0</v>
      </c>
      <c r="R19" s="109">
        <f t="shared" si="0"/>
        <v>0</v>
      </c>
      <c r="S19" s="23">
        <f t="shared" si="0"/>
        <v>0</v>
      </c>
      <c r="T19" s="23">
        <f t="shared" si="0"/>
        <v>0</v>
      </c>
      <c r="U19" s="41">
        <f>IF(SUM(R19:T19)=0,0,SUM(R19:T19)/'Sch TOU-PA Cust Fcst'!F18)</f>
        <v>0</v>
      </c>
      <c r="V19" s="33">
        <f>'Sch TOU-PA Cust Fcst'!G18*'Non-Residential TSM UC Adj'!R19</f>
        <v>0</v>
      </c>
      <c r="W19" s="23">
        <f>'Sch TOU-PA Cust Fcst'!G18*'Non-Residential TSM UC Adj'!S19</f>
        <v>0</v>
      </c>
      <c r="X19" s="23">
        <f>'Sch TOU-PA Cust Fcst'!G18*'Non-Residential TSM UC Adj'!T19</f>
        <v>0</v>
      </c>
      <c r="Y19" s="41">
        <f>IF(SUM(V19:X19)=0,0,SUM(V19:X19)/'Sch TOU-PA Cust Fcst'!G18)</f>
        <v>0</v>
      </c>
      <c r="Z19" s="23">
        <f t="shared" si="1"/>
        <v>0</v>
      </c>
      <c r="AA19" s="23">
        <f t="shared" si="1"/>
        <v>0</v>
      </c>
      <c r="AB19" s="23">
        <f t="shared" si="1"/>
        <v>0</v>
      </c>
      <c r="AC19" s="41">
        <f>IF(SUM(Z19:AB19)=0,0,SUM(Z19:AB19)/'Sch TOU-PA Cust Fcst'!H18)</f>
        <v>0</v>
      </c>
    </row>
    <row r="20" spans="1:29">
      <c r="A20" s="126" t="s">
        <v>108</v>
      </c>
      <c r="B20" s="109">
        <f>'Sch TOU-PA Cust Fcst'!B19*'Non-Residential TSM UC Adj'!J20</f>
        <v>0</v>
      </c>
      <c r="C20" s="23">
        <f>'Sch TOU-PA Cust Fcst'!B19*'Non-Residential TSM UC Adj'!K20</f>
        <v>0</v>
      </c>
      <c r="D20" s="23">
        <f>'Sch TOU-PA Cust Fcst'!B19*'Non-Residential TSM UC Adj'!L20</f>
        <v>0</v>
      </c>
      <c r="E20" s="41">
        <f>IF(SUM(B20:D20)=0,0,SUM(B20:D20)/'Sch TOU-PA Cust Fcst'!B19)</f>
        <v>0</v>
      </c>
      <c r="F20" s="109">
        <f>'Sch TOU-PA Cust Fcst'!C19*'Non-Residential TSM UC Adj'!J20</f>
        <v>0</v>
      </c>
      <c r="G20" s="23">
        <f>'Sch TOU-PA Cust Fcst'!C19*'Non-Residential TSM UC Adj'!K20</f>
        <v>0</v>
      </c>
      <c r="H20" s="23">
        <f>'Sch TOU-PA Cust Fcst'!C19*'Non-Residential TSM UC Adj'!L20</f>
        <v>0</v>
      </c>
      <c r="I20" s="41">
        <f>IF(SUM(F20:H20)=0,0,SUM(F20:H20)/'Sch TOU-PA Cust Fcst'!C19)</f>
        <v>0</v>
      </c>
      <c r="J20" s="109">
        <f>'Sch TOU-PA Cust Fcst'!D19*'Non-Residential TSM UC Adj'!J20</f>
        <v>0</v>
      </c>
      <c r="K20" s="23">
        <f>'Sch TOU-PA Cust Fcst'!D19*'Non-Residential TSM UC Adj'!K20</f>
        <v>0</v>
      </c>
      <c r="L20" s="23">
        <f>'Sch TOU-PA Cust Fcst'!D19*'Non-Residential TSM UC Adj'!L20</f>
        <v>0</v>
      </c>
      <c r="M20" s="41">
        <f>IF(SUM(J20:L20)=0,0,SUM(J20:L20)/'Sch TOU-PA Cust Fcst'!D19)</f>
        <v>0</v>
      </c>
      <c r="N20" s="109">
        <f>'Sch TOU-PA Cust Fcst'!E19*'Non-Residential TSM UC Adj'!N20</f>
        <v>14168.457286169785</v>
      </c>
      <c r="O20" s="23">
        <f>'Sch TOU-PA Cust Fcst'!E19*'Non-Residential TSM UC Adj'!O20</f>
        <v>3881.3806159244828</v>
      </c>
      <c r="P20" s="23">
        <f>'Sch TOU-PA Cust Fcst'!E19*'Non-Residential TSM UC Adj'!P20</f>
        <v>855.2930770275243</v>
      </c>
      <c r="Q20" s="41">
        <f>IF(SUM(N20:P20)=0,0,SUM(N20:P20)/'Sch TOU-PA Cust Fcst'!E19)</f>
        <v>18905.13097912179</v>
      </c>
      <c r="R20" s="109">
        <f t="shared" si="0"/>
        <v>14168.457286169785</v>
      </c>
      <c r="S20" s="23">
        <f t="shared" si="0"/>
        <v>3881.3806159244828</v>
      </c>
      <c r="T20" s="23">
        <f t="shared" si="0"/>
        <v>855.2930770275243</v>
      </c>
      <c r="U20" s="41">
        <f>IF(SUM(R20:T20)=0,0,SUM(R20:T20)/'Sch TOU-PA Cust Fcst'!F19)</f>
        <v>18905.13097912179</v>
      </c>
      <c r="V20" s="33">
        <f>'Sch TOU-PA Cust Fcst'!G19*'Non-Residential TSM UC Adj'!R20</f>
        <v>0</v>
      </c>
      <c r="W20" s="23">
        <f>'Sch TOU-PA Cust Fcst'!G19*'Non-Residential TSM UC Adj'!S20</f>
        <v>0</v>
      </c>
      <c r="X20" s="23">
        <f>'Sch TOU-PA Cust Fcst'!G19*'Non-Residential TSM UC Adj'!T20</f>
        <v>0</v>
      </c>
      <c r="Y20" s="41">
        <f>IF(SUM(V20:X20)=0,0,SUM(V20:X20)/'Sch TOU-PA Cust Fcst'!G19)</f>
        <v>0</v>
      </c>
      <c r="Z20" s="23">
        <f t="shared" si="1"/>
        <v>14168.457286169785</v>
      </c>
      <c r="AA20" s="23">
        <f t="shared" si="1"/>
        <v>3881.3806159244828</v>
      </c>
      <c r="AB20" s="23">
        <f t="shared" si="1"/>
        <v>855.2930770275243</v>
      </c>
      <c r="AC20" s="41">
        <f>IF(SUM(Z20:AB20)=0,0,SUM(Z20:AB20)/'Sch TOU-PA Cust Fcst'!H19)</f>
        <v>18905.13097912179</v>
      </c>
    </row>
    <row r="21" spans="1:29">
      <c r="A21" s="126" t="s">
        <v>109</v>
      </c>
      <c r="B21" s="109">
        <f>'Sch TOU-PA Cust Fcst'!B20*'Non-Residential TSM UC Adj'!J21</f>
        <v>0</v>
      </c>
      <c r="C21" s="23">
        <f>'Sch TOU-PA Cust Fcst'!B20*'Non-Residential TSM UC Adj'!K21</f>
        <v>0</v>
      </c>
      <c r="D21" s="23">
        <f>'Sch TOU-PA Cust Fcst'!B20*'Non-Residential TSM UC Adj'!L21</f>
        <v>0</v>
      </c>
      <c r="E21" s="41">
        <f>IF(SUM(B21:D21)=0,0,SUM(B21:D21)/'Sch TOU-PA Cust Fcst'!B20)</f>
        <v>0</v>
      </c>
      <c r="F21" s="109">
        <f>'Sch TOU-PA Cust Fcst'!C20*'Non-Residential TSM UC Adj'!J21</f>
        <v>0</v>
      </c>
      <c r="G21" s="23">
        <f>'Sch TOU-PA Cust Fcst'!C20*'Non-Residential TSM UC Adj'!K21</f>
        <v>0</v>
      </c>
      <c r="H21" s="23">
        <f>'Sch TOU-PA Cust Fcst'!C20*'Non-Residential TSM UC Adj'!L21</f>
        <v>0</v>
      </c>
      <c r="I21" s="41">
        <f>IF(SUM(F21:H21)=0,0,SUM(F21:H21)/'Sch TOU-PA Cust Fcst'!C20)</f>
        <v>0</v>
      </c>
      <c r="J21" s="109">
        <f>'Sch TOU-PA Cust Fcst'!D20*'Non-Residential TSM UC Adj'!J21</f>
        <v>0</v>
      </c>
      <c r="K21" s="23">
        <f>'Sch TOU-PA Cust Fcst'!D20*'Non-Residential TSM UC Adj'!K21</f>
        <v>0</v>
      </c>
      <c r="L21" s="23">
        <f>'Sch TOU-PA Cust Fcst'!D20*'Non-Residential TSM UC Adj'!L21</f>
        <v>0</v>
      </c>
      <c r="M21" s="41">
        <f>IF(SUM(J21:L21)=0,0,SUM(J21:L21)/'Sch TOU-PA Cust Fcst'!D20)</f>
        <v>0</v>
      </c>
      <c r="N21" s="109">
        <f>'Sch TOU-PA Cust Fcst'!E20*'Non-Residential TSM UC Adj'!N21</f>
        <v>0</v>
      </c>
      <c r="O21" s="23">
        <f>'Sch TOU-PA Cust Fcst'!E20*'Non-Residential TSM UC Adj'!O21</f>
        <v>0</v>
      </c>
      <c r="P21" s="23">
        <f>'Sch TOU-PA Cust Fcst'!E20*'Non-Residential TSM UC Adj'!P21</f>
        <v>0</v>
      </c>
      <c r="Q21" s="41">
        <f>IF(SUM(N21:P21)=0,0,SUM(N21:P21)/'Sch TOU-PA Cust Fcst'!E20)</f>
        <v>0</v>
      </c>
      <c r="R21" s="109">
        <f t="shared" si="0"/>
        <v>0</v>
      </c>
      <c r="S21" s="23">
        <f t="shared" si="0"/>
        <v>0</v>
      </c>
      <c r="T21" s="23">
        <f t="shared" si="0"/>
        <v>0</v>
      </c>
      <c r="U21" s="41">
        <f>IF(SUM(R21:T21)=0,0,SUM(R21:T21)/'Sch TOU-PA Cust Fcst'!F20)</f>
        <v>0</v>
      </c>
      <c r="V21" s="33">
        <f>'Sch TOU-PA Cust Fcst'!G20*'Non-Residential TSM UC Adj'!R21</f>
        <v>0</v>
      </c>
      <c r="W21" s="23">
        <f>'Sch TOU-PA Cust Fcst'!G20*'Non-Residential TSM UC Adj'!S21</f>
        <v>0</v>
      </c>
      <c r="X21" s="23">
        <f>'Sch TOU-PA Cust Fcst'!G20*'Non-Residential TSM UC Adj'!T21</f>
        <v>0</v>
      </c>
      <c r="Y21" s="41">
        <f>IF(SUM(V21:X21)=0,0,SUM(V21:X21)/'Sch TOU-PA Cust Fcst'!G20)</f>
        <v>0</v>
      </c>
      <c r="Z21" s="23">
        <f t="shared" si="1"/>
        <v>0</v>
      </c>
      <c r="AA21" s="23">
        <f t="shared" si="1"/>
        <v>0</v>
      </c>
      <c r="AB21" s="23">
        <f t="shared" si="1"/>
        <v>0</v>
      </c>
      <c r="AC21" s="41">
        <f>IF(SUM(Z21:AB21)=0,0,SUM(Z21:AB21)/'Sch TOU-PA Cust Fcst'!H20)</f>
        <v>0</v>
      </c>
    </row>
    <row r="22" spans="1:29">
      <c r="A22" s="124" t="s">
        <v>14</v>
      </c>
      <c r="B22" s="109">
        <f>'Sch TOU-PA Cust Fcst'!B21*'Non-Residential TSM UC Adj'!J22</f>
        <v>0</v>
      </c>
      <c r="C22" s="23">
        <f>'Sch TOU-PA Cust Fcst'!B21*'Non-Residential TSM UC Adj'!K22</f>
        <v>0</v>
      </c>
      <c r="D22" s="23">
        <f>'Sch TOU-PA Cust Fcst'!B21*'Non-Residential TSM UC Adj'!L22</f>
        <v>0</v>
      </c>
      <c r="E22" s="41">
        <f>IF(SUM(B22:D22)=0,0,SUM(B22:D22)/'Sch TOU-PA Cust Fcst'!B21)</f>
        <v>0</v>
      </c>
      <c r="F22" s="109">
        <f>'Sch TOU-PA Cust Fcst'!C21*'Non-Residential TSM UC Adj'!J22</f>
        <v>0</v>
      </c>
      <c r="G22" s="23">
        <f>'Sch TOU-PA Cust Fcst'!C21*'Non-Residential TSM UC Adj'!K22</f>
        <v>0</v>
      </c>
      <c r="H22" s="23">
        <f>'Sch TOU-PA Cust Fcst'!C21*'Non-Residential TSM UC Adj'!L22</f>
        <v>0</v>
      </c>
      <c r="I22" s="41">
        <f>IF(SUM(F22:H22)=0,0,SUM(F22:H22)/'Sch TOU-PA Cust Fcst'!C21)</f>
        <v>0</v>
      </c>
      <c r="J22" s="109">
        <f>'Sch TOU-PA Cust Fcst'!D21*'Non-Residential TSM UC Adj'!J22</f>
        <v>0</v>
      </c>
      <c r="K22" s="23">
        <f>'Sch TOU-PA Cust Fcst'!D21*'Non-Residential TSM UC Adj'!K22</f>
        <v>0</v>
      </c>
      <c r="L22" s="23">
        <f>'Sch TOU-PA Cust Fcst'!D21*'Non-Residential TSM UC Adj'!L22</f>
        <v>0</v>
      </c>
      <c r="M22" s="41">
        <f>IF(SUM(J22:L22)=0,0,SUM(J22:L22)/'Sch TOU-PA Cust Fcst'!D21)</f>
        <v>0</v>
      </c>
      <c r="N22" s="109">
        <f>'Sch TOU-PA Cust Fcst'!E21*'Non-Residential TSM UC Adj'!N22</f>
        <v>0</v>
      </c>
      <c r="O22" s="23">
        <f>'Sch TOU-PA Cust Fcst'!E21*'Non-Residential TSM UC Adj'!O22</f>
        <v>0</v>
      </c>
      <c r="P22" s="23">
        <f>'Sch TOU-PA Cust Fcst'!E21*'Non-Residential TSM UC Adj'!P22</f>
        <v>0</v>
      </c>
      <c r="Q22" s="41">
        <f>IF(SUM(N22:P22)=0,0,SUM(N22:P22)/'Sch TOU-PA Cust Fcst'!E21)</f>
        <v>0</v>
      </c>
      <c r="R22" s="109">
        <f t="shared" si="0"/>
        <v>0</v>
      </c>
      <c r="S22" s="23">
        <f t="shared" si="0"/>
        <v>0</v>
      </c>
      <c r="T22" s="23">
        <f t="shared" si="0"/>
        <v>0</v>
      </c>
      <c r="U22" s="41">
        <f>IF(SUM(R22:T22)=0,0,SUM(R22:T22)/'Sch TOU-PA Cust Fcst'!F21)</f>
        <v>0</v>
      </c>
      <c r="V22" s="33">
        <f>'Sch TOU-PA Cust Fcst'!G21*'Non-Residential TSM UC Adj'!R22</f>
        <v>0</v>
      </c>
      <c r="W22" s="23">
        <f>'Sch TOU-PA Cust Fcst'!G21*'Non-Residential TSM UC Adj'!S22</f>
        <v>0</v>
      </c>
      <c r="X22" s="23">
        <f>'Sch TOU-PA Cust Fcst'!G21*'Non-Residential TSM UC Adj'!T22</f>
        <v>0</v>
      </c>
      <c r="Y22" s="41">
        <f>IF(SUM(V22:X22)=0,0,SUM(V22:X22)/'Sch TOU-PA Cust Fcst'!G21)</f>
        <v>0</v>
      </c>
      <c r="Z22" s="23">
        <f t="shared" si="1"/>
        <v>0</v>
      </c>
      <c r="AA22" s="23">
        <f t="shared" si="1"/>
        <v>0</v>
      </c>
      <c r="AB22" s="23">
        <f t="shared" si="1"/>
        <v>0</v>
      </c>
      <c r="AC22" s="41">
        <f>IF(SUM(Z22:AB22)=0,0,SUM(Z22:AB22)/'Sch TOU-PA Cust Fcst'!H21)</f>
        <v>0</v>
      </c>
    </row>
    <row r="23" spans="1:29">
      <c r="A23" s="126" t="s">
        <v>15</v>
      </c>
      <c r="B23" s="109">
        <f>'Sch TOU-PA Cust Fcst'!B22*'Non-Residential TSM UC Adj'!J23</f>
        <v>0</v>
      </c>
      <c r="C23" s="23">
        <f>'Sch TOU-PA Cust Fcst'!B22*'Non-Residential TSM UC Adj'!K23</f>
        <v>0</v>
      </c>
      <c r="D23" s="23">
        <f>'Sch TOU-PA Cust Fcst'!B22*'Non-Residential TSM UC Adj'!L23</f>
        <v>0</v>
      </c>
      <c r="E23" s="41">
        <f>IF(SUM(B23:D23)=0,0,SUM(B23:D23)/'Sch TOU-PA Cust Fcst'!B22)</f>
        <v>0</v>
      </c>
      <c r="F23" s="109">
        <f>'Sch TOU-PA Cust Fcst'!C22*'Non-Residential TSM UC Adj'!J23</f>
        <v>0</v>
      </c>
      <c r="G23" s="23">
        <f>'Sch TOU-PA Cust Fcst'!C22*'Non-Residential TSM UC Adj'!K23</f>
        <v>0</v>
      </c>
      <c r="H23" s="23">
        <f>'Sch TOU-PA Cust Fcst'!C22*'Non-Residential TSM UC Adj'!L23</f>
        <v>0</v>
      </c>
      <c r="I23" s="41">
        <f>IF(SUM(F23:H23)=0,0,SUM(F23:H23)/'Sch TOU-PA Cust Fcst'!C22)</f>
        <v>0</v>
      </c>
      <c r="J23" s="109">
        <f>'Sch TOU-PA Cust Fcst'!D22*'Non-Residential TSM UC Adj'!J23</f>
        <v>0</v>
      </c>
      <c r="K23" s="23">
        <f>'Sch TOU-PA Cust Fcst'!D22*'Non-Residential TSM UC Adj'!K23</f>
        <v>0</v>
      </c>
      <c r="L23" s="23">
        <f>'Sch TOU-PA Cust Fcst'!D22*'Non-Residential TSM UC Adj'!L23</f>
        <v>0</v>
      </c>
      <c r="M23" s="41">
        <f>IF(SUM(J23:L23)=0,0,SUM(J23:L23)/'Sch TOU-PA Cust Fcst'!D22)</f>
        <v>0</v>
      </c>
      <c r="N23" s="109">
        <f>'Sch TOU-PA Cust Fcst'!E22*'Non-Residential TSM UC Adj'!N23</f>
        <v>0</v>
      </c>
      <c r="O23" s="23">
        <f>'Sch TOU-PA Cust Fcst'!E22*'Non-Residential TSM UC Adj'!O23</f>
        <v>0</v>
      </c>
      <c r="P23" s="23">
        <f>'Sch TOU-PA Cust Fcst'!E22*'Non-Residential TSM UC Adj'!P23</f>
        <v>0</v>
      </c>
      <c r="Q23" s="41">
        <f>IF(SUM(N23:P23)=0,0,SUM(N23:P23)/'Sch TOU-PA Cust Fcst'!E22)</f>
        <v>0</v>
      </c>
      <c r="R23" s="109">
        <f t="shared" si="0"/>
        <v>0</v>
      </c>
      <c r="S23" s="23">
        <f t="shared" si="0"/>
        <v>0</v>
      </c>
      <c r="T23" s="23">
        <f t="shared" si="0"/>
        <v>0</v>
      </c>
      <c r="U23" s="41">
        <f>IF(SUM(R23:T23)=0,0,SUM(R23:T23)/'Sch TOU-PA Cust Fcst'!F22)</f>
        <v>0</v>
      </c>
      <c r="V23" s="33">
        <f>'Sch TOU-PA Cust Fcst'!G22*'Non-Residential TSM UC Adj'!R23</f>
        <v>0</v>
      </c>
      <c r="W23" s="23">
        <f>'Sch TOU-PA Cust Fcst'!G22*'Non-Residential TSM UC Adj'!S23</f>
        <v>0</v>
      </c>
      <c r="X23" s="23">
        <f>'Sch TOU-PA Cust Fcst'!G22*'Non-Residential TSM UC Adj'!T23</f>
        <v>0</v>
      </c>
      <c r="Y23" s="41">
        <f>IF(SUM(V23:X23)=0,0,SUM(V23:X23)/'Sch TOU-PA Cust Fcst'!G22)</f>
        <v>0</v>
      </c>
      <c r="Z23" s="23">
        <f t="shared" si="1"/>
        <v>0</v>
      </c>
      <c r="AA23" s="23">
        <f t="shared" si="1"/>
        <v>0</v>
      </c>
      <c r="AB23" s="23">
        <f t="shared" si="1"/>
        <v>0</v>
      </c>
      <c r="AC23" s="41">
        <f>IF(SUM(Z23:AB23)=0,0,SUM(Z23:AB23)/'Sch TOU-PA Cust Fcst'!H22)</f>
        <v>0</v>
      </c>
    </row>
    <row r="24" spans="1:29">
      <c r="A24" s="126" t="s">
        <v>16</v>
      </c>
      <c r="B24" s="109">
        <f>'Sch TOU-PA Cust Fcst'!B23*'Non-Residential TSM UC Adj'!J24</f>
        <v>0</v>
      </c>
      <c r="C24" s="23">
        <f>'Sch TOU-PA Cust Fcst'!B23*'Non-Residential TSM UC Adj'!K24</f>
        <v>0</v>
      </c>
      <c r="D24" s="23">
        <f>'Sch TOU-PA Cust Fcst'!B23*'Non-Residential TSM UC Adj'!L24</f>
        <v>0</v>
      </c>
      <c r="E24" s="41">
        <f>IF(SUM(B24:D24)=0,0,SUM(B24:D24)/'Sch TOU-PA Cust Fcst'!B23)</f>
        <v>0</v>
      </c>
      <c r="F24" s="109">
        <f>'Sch TOU-PA Cust Fcst'!C23*'Non-Residential TSM UC Adj'!J24</f>
        <v>0</v>
      </c>
      <c r="G24" s="23">
        <f>'Sch TOU-PA Cust Fcst'!C23*'Non-Residential TSM UC Adj'!K24</f>
        <v>0</v>
      </c>
      <c r="H24" s="23">
        <f>'Sch TOU-PA Cust Fcst'!C23*'Non-Residential TSM UC Adj'!L24</f>
        <v>0</v>
      </c>
      <c r="I24" s="41">
        <f>IF(SUM(F24:H24)=0,0,SUM(F24:H24)/'Sch TOU-PA Cust Fcst'!C23)</f>
        <v>0</v>
      </c>
      <c r="J24" s="109">
        <f>'Sch TOU-PA Cust Fcst'!D23*'Non-Residential TSM UC Adj'!J24</f>
        <v>0</v>
      </c>
      <c r="K24" s="23">
        <f>'Sch TOU-PA Cust Fcst'!D23*'Non-Residential TSM UC Adj'!K24</f>
        <v>0</v>
      </c>
      <c r="L24" s="23">
        <f>'Sch TOU-PA Cust Fcst'!D23*'Non-Residential TSM UC Adj'!L24</f>
        <v>0</v>
      </c>
      <c r="M24" s="41">
        <f>IF(SUM(J24:L24)=0,0,SUM(J24:L24)/'Sch TOU-PA Cust Fcst'!D23)</f>
        <v>0</v>
      </c>
      <c r="N24" s="109">
        <f>'Sch TOU-PA Cust Fcst'!E23*'Non-Residential TSM UC Adj'!N24</f>
        <v>0</v>
      </c>
      <c r="O24" s="23">
        <f>'Sch TOU-PA Cust Fcst'!E23*'Non-Residential TSM UC Adj'!O24</f>
        <v>0</v>
      </c>
      <c r="P24" s="23">
        <f>'Sch TOU-PA Cust Fcst'!E23*'Non-Residential TSM UC Adj'!P24</f>
        <v>0</v>
      </c>
      <c r="Q24" s="41">
        <f>IF(SUM(N24:P24)=0,0,SUM(N24:P24)/'Sch TOU-PA Cust Fcst'!E23)</f>
        <v>0</v>
      </c>
      <c r="R24" s="109">
        <f t="shared" si="0"/>
        <v>0</v>
      </c>
      <c r="S24" s="23">
        <f t="shared" si="0"/>
        <v>0</v>
      </c>
      <c r="T24" s="23">
        <f t="shared" si="0"/>
        <v>0</v>
      </c>
      <c r="U24" s="41">
        <f>IF(SUM(R24:T24)=0,0,SUM(R24:T24)/'Sch TOU-PA Cust Fcst'!F23)</f>
        <v>0</v>
      </c>
      <c r="V24" s="33">
        <f>'Sch TOU-PA Cust Fcst'!G23*'Non-Residential TSM UC Adj'!R24</f>
        <v>0</v>
      </c>
      <c r="W24" s="23">
        <f>'Sch TOU-PA Cust Fcst'!G23*'Non-Residential TSM UC Adj'!S24</f>
        <v>0</v>
      </c>
      <c r="X24" s="23">
        <f>'Sch TOU-PA Cust Fcst'!G23*'Non-Residential TSM UC Adj'!T24</f>
        <v>0</v>
      </c>
      <c r="Y24" s="41">
        <f>IF(SUM(V24:X24)=0,0,SUM(V24:X24)/'Sch TOU-PA Cust Fcst'!G23)</f>
        <v>0</v>
      </c>
      <c r="Z24" s="23">
        <f t="shared" si="1"/>
        <v>0</v>
      </c>
      <c r="AA24" s="23">
        <f t="shared" si="1"/>
        <v>0</v>
      </c>
      <c r="AB24" s="23">
        <f t="shared" si="1"/>
        <v>0</v>
      </c>
      <c r="AC24" s="41">
        <f>IF(SUM(Z24:AB24)=0,0,SUM(Z24:AB24)/'Sch TOU-PA Cust Fcst'!H23)</f>
        <v>0</v>
      </c>
    </row>
    <row r="25" spans="1:29">
      <c r="A25" s="126" t="s">
        <v>17</v>
      </c>
      <c r="B25" s="109">
        <f>'Sch TOU-PA Cust Fcst'!B24*'Non-Residential TSM UC Adj'!J25</f>
        <v>0</v>
      </c>
      <c r="C25" s="23">
        <f>'Sch TOU-PA Cust Fcst'!B24*'Non-Residential TSM UC Adj'!K25</f>
        <v>0</v>
      </c>
      <c r="D25" s="23">
        <f>'Sch TOU-PA Cust Fcst'!B24*'Non-Residential TSM UC Adj'!L25</f>
        <v>0</v>
      </c>
      <c r="E25" s="41">
        <f>IF(SUM(B25:D25)=0,0,SUM(B25:D25)/'Sch TOU-PA Cust Fcst'!B24)</f>
        <v>0</v>
      </c>
      <c r="F25" s="109">
        <f>'Sch TOU-PA Cust Fcst'!C24*'Non-Residential TSM UC Adj'!J25</f>
        <v>0</v>
      </c>
      <c r="G25" s="23">
        <f>'Sch TOU-PA Cust Fcst'!C24*'Non-Residential TSM UC Adj'!K25</f>
        <v>0</v>
      </c>
      <c r="H25" s="23">
        <f>'Sch TOU-PA Cust Fcst'!C24*'Non-Residential TSM UC Adj'!L25</f>
        <v>0</v>
      </c>
      <c r="I25" s="41">
        <f>IF(SUM(F25:H25)=0,0,SUM(F25:H25)/'Sch TOU-PA Cust Fcst'!C24)</f>
        <v>0</v>
      </c>
      <c r="J25" s="109">
        <f>'Sch TOU-PA Cust Fcst'!D24*'Non-Residential TSM UC Adj'!J25</f>
        <v>0</v>
      </c>
      <c r="K25" s="23">
        <f>'Sch TOU-PA Cust Fcst'!D24*'Non-Residential TSM UC Adj'!K25</f>
        <v>0</v>
      </c>
      <c r="L25" s="23">
        <f>'Sch TOU-PA Cust Fcst'!D24*'Non-Residential TSM UC Adj'!L25</f>
        <v>0</v>
      </c>
      <c r="M25" s="41">
        <f>IF(SUM(J25:L25)=0,0,SUM(J25:L25)/'Sch TOU-PA Cust Fcst'!D24)</f>
        <v>0</v>
      </c>
      <c r="N25" s="109">
        <f>'Sch TOU-PA Cust Fcst'!E24*'Non-Residential TSM UC Adj'!N25</f>
        <v>0</v>
      </c>
      <c r="O25" s="23">
        <f>'Sch TOU-PA Cust Fcst'!E24*'Non-Residential TSM UC Adj'!O25</f>
        <v>0</v>
      </c>
      <c r="P25" s="23">
        <f>'Sch TOU-PA Cust Fcst'!E24*'Non-Residential TSM UC Adj'!P25</f>
        <v>0</v>
      </c>
      <c r="Q25" s="41">
        <f>IF(SUM(N25:P25)=0,0,SUM(N25:P25)/'Sch TOU-PA Cust Fcst'!E24)</f>
        <v>0</v>
      </c>
      <c r="R25" s="109">
        <f t="shared" si="0"/>
        <v>0</v>
      </c>
      <c r="S25" s="23">
        <f t="shared" si="0"/>
        <v>0</v>
      </c>
      <c r="T25" s="23">
        <f t="shared" si="0"/>
        <v>0</v>
      </c>
      <c r="U25" s="41">
        <f>IF(SUM(R25:T25)=0,0,SUM(R25:T25)/'Sch TOU-PA Cust Fcst'!F24)</f>
        <v>0</v>
      </c>
      <c r="V25" s="33">
        <f>'Sch TOU-PA Cust Fcst'!G24*'Non-Residential TSM UC Adj'!R25</f>
        <v>0</v>
      </c>
      <c r="W25" s="23">
        <f>'Sch TOU-PA Cust Fcst'!G24*'Non-Residential TSM UC Adj'!S25</f>
        <v>0</v>
      </c>
      <c r="X25" s="23">
        <f>'Sch TOU-PA Cust Fcst'!G24*'Non-Residential TSM UC Adj'!T25</f>
        <v>0</v>
      </c>
      <c r="Y25" s="41">
        <f>IF(SUM(V25:X25)=0,0,SUM(V25:X25)/'Sch TOU-PA Cust Fcst'!G24)</f>
        <v>0</v>
      </c>
      <c r="Z25" s="23">
        <f t="shared" si="1"/>
        <v>0</v>
      </c>
      <c r="AA25" s="23">
        <f t="shared" si="1"/>
        <v>0</v>
      </c>
      <c r="AB25" s="23">
        <f t="shared" si="1"/>
        <v>0</v>
      </c>
      <c r="AC25" s="41">
        <f>IF(SUM(Z25:AB25)=0,0,SUM(Z25:AB25)/'Sch TOU-PA Cust Fcst'!H24)</f>
        <v>0</v>
      </c>
    </row>
    <row r="26" spans="1:29">
      <c r="A26" s="126" t="s">
        <v>18</v>
      </c>
      <c r="B26" s="109">
        <f>'Sch TOU-PA Cust Fcst'!B25*'Non-Residential TSM UC Adj'!J26</f>
        <v>0</v>
      </c>
      <c r="C26" s="23">
        <f>'Sch TOU-PA Cust Fcst'!B25*'Non-Residential TSM UC Adj'!K26</f>
        <v>0</v>
      </c>
      <c r="D26" s="23">
        <f>'Sch TOU-PA Cust Fcst'!B25*'Non-Residential TSM UC Adj'!L26</f>
        <v>0</v>
      </c>
      <c r="E26" s="41">
        <f>IF(SUM(B26:D26)=0,0,SUM(B26:D26)/'Sch TOU-PA Cust Fcst'!B25)</f>
        <v>0</v>
      </c>
      <c r="F26" s="109">
        <f>'Sch TOU-PA Cust Fcst'!C25*'Non-Residential TSM UC Adj'!J26</f>
        <v>0</v>
      </c>
      <c r="G26" s="23">
        <f>'Sch TOU-PA Cust Fcst'!C25*'Non-Residential TSM UC Adj'!K26</f>
        <v>0</v>
      </c>
      <c r="H26" s="23">
        <f>'Sch TOU-PA Cust Fcst'!C25*'Non-Residential TSM UC Adj'!L26</f>
        <v>0</v>
      </c>
      <c r="I26" s="41">
        <f>IF(SUM(F26:H26)=0,0,SUM(F26:H26)/'Sch TOU-PA Cust Fcst'!C25)</f>
        <v>0</v>
      </c>
      <c r="J26" s="109">
        <f>'Sch TOU-PA Cust Fcst'!D25*'Non-Residential TSM UC Adj'!J26</f>
        <v>0</v>
      </c>
      <c r="K26" s="23">
        <f>'Sch TOU-PA Cust Fcst'!D25*'Non-Residential TSM UC Adj'!K26</f>
        <v>0</v>
      </c>
      <c r="L26" s="23">
        <f>'Sch TOU-PA Cust Fcst'!D25*'Non-Residential TSM UC Adj'!L26</f>
        <v>0</v>
      </c>
      <c r="M26" s="41">
        <f>IF(SUM(J26:L26)=0,0,SUM(J26:L26)/'Sch TOU-PA Cust Fcst'!D25)</f>
        <v>0</v>
      </c>
      <c r="N26" s="109">
        <f>'Sch TOU-PA Cust Fcst'!E25*'Non-Residential TSM UC Adj'!N26</f>
        <v>0</v>
      </c>
      <c r="O26" s="23">
        <f>'Sch TOU-PA Cust Fcst'!E25*'Non-Residential TSM UC Adj'!O26</f>
        <v>0</v>
      </c>
      <c r="P26" s="23">
        <f>'Sch TOU-PA Cust Fcst'!E25*'Non-Residential TSM UC Adj'!P26</f>
        <v>0</v>
      </c>
      <c r="Q26" s="41">
        <f>IF(SUM(N26:P26)=0,0,SUM(N26:P26)/'Sch TOU-PA Cust Fcst'!E25)</f>
        <v>0</v>
      </c>
      <c r="R26" s="109">
        <f t="shared" si="0"/>
        <v>0</v>
      </c>
      <c r="S26" s="23">
        <f t="shared" si="0"/>
        <v>0</v>
      </c>
      <c r="T26" s="23">
        <f t="shared" si="0"/>
        <v>0</v>
      </c>
      <c r="U26" s="41">
        <f>IF(SUM(R26:T26)=0,0,SUM(R26:T26)/'Sch TOU-PA Cust Fcst'!F25)</f>
        <v>0</v>
      </c>
      <c r="V26" s="33">
        <f>'Sch TOU-PA Cust Fcst'!G25*'Non-Residential TSM UC Adj'!R26</f>
        <v>0</v>
      </c>
      <c r="W26" s="23">
        <f>'Sch TOU-PA Cust Fcst'!G25*'Non-Residential TSM UC Adj'!S26</f>
        <v>0</v>
      </c>
      <c r="X26" s="23">
        <f>'Sch TOU-PA Cust Fcst'!G25*'Non-Residential TSM UC Adj'!T26</f>
        <v>0</v>
      </c>
      <c r="Y26" s="41">
        <f>IF(SUM(V26:X26)=0,0,SUM(V26:X26)/'Sch TOU-PA Cust Fcst'!G25)</f>
        <v>0</v>
      </c>
      <c r="Z26" s="23">
        <f t="shared" si="1"/>
        <v>0</v>
      </c>
      <c r="AA26" s="23">
        <f t="shared" si="1"/>
        <v>0</v>
      </c>
      <c r="AB26" s="23">
        <f t="shared" si="1"/>
        <v>0</v>
      </c>
      <c r="AC26" s="41">
        <f>IF(SUM(Z26:AB26)=0,0,SUM(Z26:AB26)/'Sch TOU-PA Cust Fcst'!H25)</f>
        <v>0</v>
      </c>
    </row>
    <row r="27" spans="1:29">
      <c r="A27" s="126" t="s">
        <v>19</v>
      </c>
      <c r="B27" s="109">
        <f>'Sch TOU-PA Cust Fcst'!B26*'Non-Residential TSM UC Adj'!J27</f>
        <v>0</v>
      </c>
      <c r="C27" s="23">
        <f>'Sch TOU-PA Cust Fcst'!B26*'Non-Residential TSM UC Adj'!K27</f>
        <v>0</v>
      </c>
      <c r="D27" s="23">
        <f>'Sch TOU-PA Cust Fcst'!B26*'Non-Residential TSM UC Adj'!L27</f>
        <v>0</v>
      </c>
      <c r="E27" s="41">
        <f>IF(SUM(B27:D27)=0,0,SUM(B27:D27)/'Sch TOU-PA Cust Fcst'!B26)</f>
        <v>0</v>
      </c>
      <c r="F27" s="109">
        <f>'Sch TOU-PA Cust Fcst'!C26*'Non-Residential TSM UC Adj'!J27</f>
        <v>0</v>
      </c>
      <c r="G27" s="23">
        <f>'Sch TOU-PA Cust Fcst'!C26*'Non-Residential TSM UC Adj'!K27</f>
        <v>0</v>
      </c>
      <c r="H27" s="23">
        <f>'Sch TOU-PA Cust Fcst'!C26*'Non-Residential TSM UC Adj'!L27</f>
        <v>0</v>
      </c>
      <c r="I27" s="41">
        <f>IF(SUM(F27:H27)=0,0,SUM(F27:H27)/'Sch TOU-PA Cust Fcst'!C26)</f>
        <v>0</v>
      </c>
      <c r="J27" s="109">
        <f>'Sch TOU-PA Cust Fcst'!D26*'Non-Residential TSM UC Adj'!J27</f>
        <v>0</v>
      </c>
      <c r="K27" s="23">
        <f>'Sch TOU-PA Cust Fcst'!D26*'Non-Residential TSM UC Adj'!K27</f>
        <v>0</v>
      </c>
      <c r="L27" s="23">
        <f>'Sch TOU-PA Cust Fcst'!D26*'Non-Residential TSM UC Adj'!L27</f>
        <v>0</v>
      </c>
      <c r="M27" s="41">
        <f>IF(SUM(J27:L27)=0,0,SUM(J27:L27)/'Sch TOU-PA Cust Fcst'!D26)</f>
        <v>0</v>
      </c>
      <c r="N27" s="109">
        <f>'Sch TOU-PA Cust Fcst'!E26*'Non-Residential TSM UC Adj'!N27</f>
        <v>0</v>
      </c>
      <c r="O27" s="23">
        <f>'Sch TOU-PA Cust Fcst'!E26*'Non-Residential TSM UC Adj'!O27</f>
        <v>0</v>
      </c>
      <c r="P27" s="23">
        <f>'Sch TOU-PA Cust Fcst'!E26*'Non-Residential TSM UC Adj'!P27</f>
        <v>0</v>
      </c>
      <c r="Q27" s="41">
        <f>IF(SUM(N27:P27)=0,0,SUM(N27:P27)/'Sch TOU-PA Cust Fcst'!E26)</f>
        <v>0</v>
      </c>
      <c r="R27" s="109">
        <f t="shared" si="0"/>
        <v>0</v>
      </c>
      <c r="S27" s="23">
        <f t="shared" si="0"/>
        <v>0</v>
      </c>
      <c r="T27" s="23">
        <f t="shared" si="0"/>
        <v>0</v>
      </c>
      <c r="U27" s="41">
        <f>IF(SUM(R27:T27)=0,0,SUM(R27:T27)/'Sch TOU-PA Cust Fcst'!F26)</f>
        <v>0</v>
      </c>
      <c r="V27" s="33">
        <f>'Sch TOU-PA Cust Fcst'!G26*'Non-Residential TSM UC Adj'!R27</f>
        <v>0</v>
      </c>
      <c r="W27" s="23">
        <f>'Sch TOU-PA Cust Fcst'!G26*'Non-Residential TSM UC Adj'!S27</f>
        <v>0</v>
      </c>
      <c r="X27" s="23">
        <f>'Sch TOU-PA Cust Fcst'!G26*'Non-Residential TSM UC Adj'!T27</f>
        <v>0</v>
      </c>
      <c r="Y27" s="41">
        <f>IF(SUM(V27:X27)=0,0,SUM(V27:X27)/'Sch TOU-PA Cust Fcst'!G26)</f>
        <v>0</v>
      </c>
      <c r="Z27" s="23">
        <f t="shared" si="1"/>
        <v>0</v>
      </c>
      <c r="AA27" s="23">
        <f t="shared" si="1"/>
        <v>0</v>
      </c>
      <c r="AB27" s="23">
        <f t="shared" si="1"/>
        <v>0</v>
      </c>
      <c r="AC27" s="41">
        <f>IF(SUM(Z27:AB27)=0,0,SUM(Z27:AB27)/'Sch TOU-PA Cust Fcst'!H26)</f>
        <v>0</v>
      </c>
    </row>
    <row r="28" spans="1:29">
      <c r="A28" s="126" t="s">
        <v>20</v>
      </c>
      <c r="B28" s="109">
        <f>'Sch TOU-PA Cust Fcst'!B27*'Non-Residential TSM UC Adj'!J28</f>
        <v>0</v>
      </c>
      <c r="C28" s="23">
        <f>'Sch TOU-PA Cust Fcst'!B27*'Non-Residential TSM UC Adj'!K28</f>
        <v>0</v>
      </c>
      <c r="D28" s="23">
        <f>'Sch TOU-PA Cust Fcst'!B27*'Non-Residential TSM UC Adj'!L28</f>
        <v>0</v>
      </c>
      <c r="E28" s="41">
        <f>IF(SUM(B28:D28)=0,0,SUM(B28:D28)/'Sch TOU-PA Cust Fcst'!B27)</f>
        <v>0</v>
      </c>
      <c r="F28" s="109">
        <f>'Sch TOU-PA Cust Fcst'!C27*'Non-Residential TSM UC Adj'!J28</f>
        <v>0</v>
      </c>
      <c r="G28" s="23">
        <f>'Sch TOU-PA Cust Fcst'!C27*'Non-Residential TSM UC Adj'!K28</f>
        <v>0</v>
      </c>
      <c r="H28" s="23">
        <f>'Sch TOU-PA Cust Fcst'!C27*'Non-Residential TSM UC Adj'!L28</f>
        <v>0</v>
      </c>
      <c r="I28" s="41">
        <f>IF(SUM(F28:H28)=0,0,SUM(F28:H28)/'Sch TOU-PA Cust Fcst'!C27)</f>
        <v>0</v>
      </c>
      <c r="J28" s="109">
        <f>'Sch TOU-PA Cust Fcst'!D27*'Non-Residential TSM UC Adj'!J28</f>
        <v>0</v>
      </c>
      <c r="K28" s="23">
        <f>'Sch TOU-PA Cust Fcst'!D27*'Non-Residential TSM UC Adj'!K28</f>
        <v>0</v>
      </c>
      <c r="L28" s="23">
        <f>'Sch TOU-PA Cust Fcst'!D27*'Non-Residential TSM UC Adj'!L28</f>
        <v>0</v>
      </c>
      <c r="M28" s="41">
        <f>IF(SUM(J28:L28)=0,0,SUM(J28:L28)/'Sch TOU-PA Cust Fcst'!D27)</f>
        <v>0</v>
      </c>
      <c r="N28" s="109">
        <f>'Sch TOU-PA Cust Fcst'!E27*'Non-Residential TSM UC Adj'!N28</f>
        <v>0</v>
      </c>
      <c r="O28" s="23">
        <f>'Sch TOU-PA Cust Fcst'!E27*'Non-Residential TSM UC Adj'!O28</f>
        <v>0</v>
      </c>
      <c r="P28" s="23">
        <f>'Sch TOU-PA Cust Fcst'!E27*'Non-Residential TSM UC Adj'!P28</f>
        <v>0</v>
      </c>
      <c r="Q28" s="41">
        <f>IF(SUM(N28:P28)=0,0,SUM(N28:P28)/'Sch TOU-PA Cust Fcst'!E27)</f>
        <v>0</v>
      </c>
      <c r="R28" s="109">
        <f t="shared" si="0"/>
        <v>0</v>
      </c>
      <c r="S28" s="23">
        <f t="shared" si="0"/>
        <v>0</v>
      </c>
      <c r="T28" s="23">
        <f t="shared" si="0"/>
        <v>0</v>
      </c>
      <c r="U28" s="41">
        <f>IF(SUM(R28:T28)=0,0,SUM(R28:T28)/'Sch TOU-PA Cust Fcst'!F27)</f>
        <v>0</v>
      </c>
      <c r="V28" s="33">
        <f>'Sch TOU-PA Cust Fcst'!G27*'Non-Residential TSM UC Adj'!R28</f>
        <v>0</v>
      </c>
      <c r="W28" s="23">
        <f>'Sch TOU-PA Cust Fcst'!G27*'Non-Residential TSM UC Adj'!S28</f>
        <v>0</v>
      </c>
      <c r="X28" s="23">
        <f>'Sch TOU-PA Cust Fcst'!G27*'Non-Residential TSM UC Adj'!T28</f>
        <v>0</v>
      </c>
      <c r="Y28" s="41">
        <f>IF(SUM(V28:X28)=0,0,SUM(V28:X28)/'Sch TOU-PA Cust Fcst'!G27)</f>
        <v>0</v>
      </c>
      <c r="Z28" s="23">
        <f t="shared" si="1"/>
        <v>0</v>
      </c>
      <c r="AA28" s="23">
        <f t="shared" si="1"/>
        <v>0</v>
      </c>
      <c r="AB28" s="23">
        <f t="shared" si="1"/>
        <v>0</v>
      </c>
      <c r="AC28" s="41">
        <f>IF(SUM(Z28:AB28)=0,0,SUM(Z28:AB28)/'Sch TOU-PA Cust Fcst'!H27)</f>
        <v>0</v>
      </c>
    </row>
    <row r="29" spans="1:29">
      <c r="A29" s="126" t="s">
        <v>21</v>
      </c>
      <c r="B29" s="109">
        <f>'Sch TOU-PA Cust Fcst'!B28*'Non-Residential TSM UC Adj'!J29</f>
        <v>0</v>
      </c>
      <c r="C29" s="23">
        <f>'Sch TOU-PA Cust Fcst'!B28*'Non-Residential TSM UC Adj'!K29</f>
        <v>0</v>
      </c>
      <c r="D29" s="23">
        <f>'Sch TOU-PA Cust Fcst'!B28*'Non-Residential TSM UC Adj'!L29</f>
        <v>0</v>
      </c>
      <c r="E29" s="41">
        <f>IF(SUM(B29:D29)=0,0,SUM(B29:D29)/'Sch TOU-PA Cust Fcst'!B28)</f>
        <v>0</v>
      </c>
      <c r="F29" s="109">
        <f>'Sch TOU-PA Cust Fcst'!C28*'Non-Residential TSM UC Adj'!J29</f>
        <v>0</v>
      </c>
      <c r="G29" s="23">
        <f>'Sch TOU-PA Cust Fcst'!C28*'Non-Residential TSM UC Adj'!K29</f>
        <v>0</v>
      </c>
      <c r="H29" s="23">
        <f>'Sch TOU-PA Cust Fcst'!C28*'Non-Residential TSM UC Adj'!L29</f>
        <v>0</v>
      </c>
      <c r="I29" s="41">
        <f>IF(SUM(F29:H29)=0,0,SUM(F29:H29)/'Sch TOU-PA Cust Fcst'!C28)</f>
        <v>0</v>
      </c>
      <c r="J29" s="109">
        <f>'Sch TOU-PA Cust Fcst'!D28*'Non-Residential TSM UC Adj'!J29</f>
        <v>0</v>
      </c>
      <c r="K29" s="23">
        <f>'Sch TOU-PA Cust Fcst'!D28*'Non-Residential TSM UC Adj'!K29</f>
        <v>0</v>
      </c>
      <c r="L29" s="23">
        <f>'Sch TOU-PA Cust Fcst'!D28*'Non-Residential TSM UC Adj'!L29</f>
        <v>0</v>
      </c>
      <c r="M29" s="41">
        <f>IF(SUM(J29:L29)=0,0,SUM(J29:L29)/'Sch TOU-PA Cust Fcst'!D28)</f>
        <v>0</v>
      </c>
      <c r="N29" s="109">
        <f>'Sch TOU-PA Cust Fcst'!E28*'Non-Residential TSM UC Adj'!N29</f>
        <v>0</v>
      </c>
      <c r="O29" s="23">
        <f>'Sch TOU-PA Cust Fcst'!E28*'Non-Residential TSM UC Adj'!O29</f>
        <v>0</v>
      </c>
      <c r="P29" s="23">
        <f>'Sch TOU-PA Cust Fcst'!E28*'Non-Residential TSM UC Adj'!P29</f>
        <v>0</v>
      </c>
      <c r="Q29" s="41">
        <f>IF(SUM(N29:P29)=0,0,SUM(N29:P29)/'Sch TOU-PA Cust Fcst'!E28)</f>
        <v>0</v>
      </c>
      <c r="R29" s="109">
        <f t="shared" si="0"/>
        <v>0</v>
      </c>
      <c r="S29" s="23">
        <f t="shared" si="0"/>
        <v>0</v>
      </c>
      <c r="T29" s="23">
        <f t="shared" si="0"/>
        <v>0</v>
      </c>
      <c r="U29" s="41">
        <f>IF(SUM(R29:T29)=0,0,SUM(R29:T29)/'Sch TOU-PA Cust Fcst'!F28)</f>
        <v>0</v>
      </c>
      <c r="V29" s="33">
        <f>'Sch TOU-PA Cust Fcst'!G28*'Non-Residential TSM UC Adj'!R29</f>
        <v>0</v>
      </c>
      <c r="W29" s="23">
        <f>'Sch TOU-PA Cust Fcst'!G28*'Non-Residential TSM UC Adj'!S29</f>
        <v>0</v>
      </c>
      <c r="X29" s="23">
        <f>'Sch TOU-PA Cust Fcst'!G28*'Non-Residential TSM UC Adj'!T29</f>
        <v>0</v>
      </c>
      <c r="Y29" s="41">
        <f>IF(SUM(V29:X29)=0,0,SUM(V29:X29)/'Sch TOU-PA Cust Fcst'!G28)</f>
        <v>0</v>
      </c>
      <c r="Z29" s="23">
        <f t="shared" si="1"/>
        <v>0</v>
      </c>
      <c r="AA29" s="23">
        <f t="shared" si="1"/>
        <v>0</v>
      </c>
      <c r="AB29" s="23">
        <f t="shared" si="1"/>
        <v>0</v>
      </c>
      <c r="AC29" s="41">
        <f>IF(SUM(Z29:AB29)=0,0,SUM(Z29:AB29)/'Sch TOU-PA Cust Fcst'!H28)</f>
        <v>0</v>
      </c>
    </row>
    <row r="30" spans="1:29">
      <c r="A30" s="126" t="s">
        <v>22</v>
      </c>
      <c r="B30" s="109">
        <f>'Sch TOU-PA Cust Fcst'!B29*'Non-Residential TSM UC Adj'!J30</f>
        <v>0</v>
      </c>
      <c r="C30" s="23">
        <f>'Sch TOU-PA Cust Fcst'!B29*'Non-Residential TSM UC Adj'!K30</f>
        <v>0</v>
      </c>
      <c r="D30" s="23">
        <f>'Sch TOU-PA Cust Fcst'!B29*'Non-Residential TSM UC Adj'!L30</f>
        <v>0</v>
      </c>
      <c r="E30" s="41">
        <f>IF(SUM(B30:D30)=0,0,SUM(B30:D30)/'Sch TOU-PA Cust Fcst'!B29)</f>
        <v>0</v>
      </c>
      <c r="F30" s="109">
        <f>'Sch TOU-PA Cust Fcst'!C29*'Non-Residential TSM UC Adj'!J30</f>
        <v>0</v>
      </c>
      <c r="G30" s="23">
        <f>'Sch TOU-PA Cust Fcst'!C29*'Non-Residential TSM UC Adj'!K30</f>
        <v>0</v>
      </c>
      <c r="H30" s="23">
        <f>'Sch TOU-PA Cust Fcst'!C29*'Non-Residential TSM UC Adj'!L30</f>
        <v>0</v>
      </c>
      <c r="I30" s="41">
        <f>IF(SUM(F30:H30)=0,0,SUM(F30:H30)/'Sch TOU-PA Cust Fcst'!C29)</f>
        <v>0</v>
      </c>
      <c r="J30" s="109">
        <f>'Sch TOU-PA Cust Fcst'!D29*'Non-Residential TSM UC Adj'!J30</f>
        <v>0</v>
      </c>
      <c r="K30" s="23">
        <f>'Sch TOU-PA Cust Fcst'!D29*'Non-Residential TSM UC Adj'!K30</f>
        <v>0</v>
      </c>
      <c r="L30" s="23">
        <f>'Sch TOU-PA Cust Fcst'!D29*'Non-Residential TSM UC Adj'!L30</f>
        <v>0</v>
      </c>
      <c r="M30" s="41">
        <f>IF(SUM(J30:L30)=0,0,SUM(J30:L30)/'Sch TOU-PA Cust Fcst'!D29)</f>
        <v>0</v>
      </c>
      <c r="N30" s="109">
        <f>'Sch TOU-PA Cust Fcst'!E29*'Non-Residential TSM UC Adj'!N30</f>
        <v>0</v>
      </c>
      <c r="O30" s="23">
        <f>'Sch TOU-PA Cust Fcst'!E29*'Non-Residential TSM UC Adj'!O30</f>
        <v>0</v>
      </c>
      <c r="P30" s="23">
        <f>'Sch TOU-PA Cust Fcst'!E29*'Non-Residential TSM UC Adj'!P30</f>
        <v>0</v>
      </c>
      <c r="Q30" s="41">
        <f>IF(SUM(N30:P30)=0,0,SUM(N30:P30)/'Sch TOU-PA Cust Fcst'!E29)</f>
        <v>0</v>
      </c>
      <c r="R30" s="109">
        <f t="shared" si="0"/>
        <v>0</v>
      </c>
      <c r="S30" s="23">
        <f t="shared" si="0"/>
        <v>0</v>
      </c>
      <c r="T30" s="23">
        <f t="shared" si="0"/>
        <v>0</v>
      </c>
      <c r="U30" s="41">
        <f>IF(SUM(R30:T30)=0,0,SUM(R30:T30)/'Sch TOU-PA Cust Fcst'!F29)</f>
        <v>0</v>
      </c>
      <c r="V30" s="33">
        <f>'Sch TOU-PA Cust Fcst'!G29*'Non-Residential TSM UC Adj'!R30</f>
        <v>0</v>
      </c>
      <c r="W30" s="23">
        <f>'Sch TOU-PA Cust Fcst'!G29*'Non-Residential TSM UC Adj'!S30</f>
        <v>0</v>
      </c>
      <c r="X30" s="23">
        <f>'Sch TOU-PA Cust Fcst'!G29*'Non-Residential TSM UC Adj'!T30</f>
        <v>0</v>
      </c>
      <c r="Y30" s="41">
        <f>IF(SUM(V30:X30)=0,0,SUM(V30:X30)/'Sch TOU-PA Cust Fcst'!G29)</f>
        <v>0</v>
      </c>
      <c r="Z30" s="23">
        <f t="shared" si="1"/>
        <v>0</v>
      </c>
      <c r="AA30" s="23">
        <f t="shared" si="1"/>
        <v>0</v>
      </c>
      <c r="AB30" s="23">
        <f t="shared" si="1"/>
        <v>0</v>
      </c>
      <c r="AC30" s="41">
        <f>IF(SUM(Z30:AB30)=0,0,SUM(Z30:AB30)/'Sch TOU-PA Cust Fcst'!H29)</f>
        <v>0</v>
      </c>
    </row>
    <row r="31" spans="1:29">
      <c r="A31" s="124" t="s">
        <v>23</v>
      </c>
      <c r="B31" s="109">
        <f>'Sch TOU-PA Cust Fcst'!B30*'Non-Residential TSM UC Adj'!J31</f>
        <v>0</v>
      </c>
      <c r="C31" s="23">
        <f>'Sch TOU-PA Cust Fcst'!B30*'Non-Residential TSM UC Adj'!K31</f>
        <v>0</v>
      </c>
      <c r="D31" s="23">
        <f>'Sch TOU-PA Cust Fcst'!B30*'Non-Residential TSM UC Adj'!L31</f>
        <v>0</v>
      </c>
      <c r="E31" s="41">
        <f>IF(SUM(B31:D31)=0,0,SUM(B31:D31)/'Sch TOU-PA Cust Fcst'!B30)</f>
        <v>0</v>
      </c>
      <c r="F31" s="109">
        <f>'Sch TOU-PA Cust Fcst'!C30*'Non-Residential TSM UC Adj'!J31</f>
        <v>0</v>
      </c>
      <c r="G31" s="23">
        <f>'Sch TOU-PA Cust Fcst'!C30*'Non-Residential TSM UC Adj'!K31</f>
        <v>0</v>
      </c>
      <c r="H31" s="23">
        <f>'Sch TOU-PA Cust Fcst'!C30*'Non-Residential TSM UC Adj'!L31</f>
        <v>0</v>
      </c>
      <c r="I31" s="41">
        <f>IF(SUM(F31:H31)=0,0,SUM(F31:H31)/'Sch TOU-PA Cust Fcst'!C30)</f>
        <v>0</v>
      </c>
      <c r="J31" s="109">
        <f>'Sch TOU-PA Cust Fcst'!D30*'Non-Residential TSM UC Adj'!J31</f>
        <v>0</v>
      </c>
      <c r="K31" s="23">
        <f>'Sch TOU-PA Cust Fcst'!D30*'Non-Residential TSM UC Adj'!K31</f>
        <v>0</v>
      </c>
      <c r="L31" s="23">
        <f>'Sch TOU-PA Cust Fcst'!D30*'Non-Residential TSM UC Adj'!L31</f>
        <v>0</v>
      </c>
      <c r="M31" s="41">
        <f>IF(SUM(J31:L31)=0,0,SUM(J31:L31)/'Sch TOU-PA Cust Fcst'!D30)</f>
        <v>0</v>
      </c>
      <c r="N31" s="109">
        <f>'Sch TOU-PA Cust Fcst'!E30*'Non-Residential TSM UC Adj'!N31</f>
        <v>0</v>
      </c>
      <c r="O31" s="23">
        <f>'Sch TOU-PA Cust Fcst'!E30*'Non-Residential TSM UC Adj'!O31</f>
        <v>0</v>
      </c>
      <c r="P31" s="23">
        <f>'Sch TOU-PA Cust Fcst'!E30*'Non-Residential TSM UC Adj'!P31</f>
        <v>0</v>
      </c>
      <c r="Q31" s="41">
        <f>IF(SUM(N31:P31)=0,0,SUM(N31:P31)/'Sch TOU-PA Cust Fcst'!E30)</f>
        <v>0</v>
      </c>
      <c r="R31" s="109">
        <f t="shared" si="0"/>
        <v>0</v>
      </c>
      <c r="S31" s="23">
        <f t="shared" si="0"/>
        <v>0</v>
      </c>
      <c r="T31" s="23">
        <f t="shared" si="0"/>
        <v>0</v>
      </c>
      <c r="U31" s="41">
        <f>IF(SUM(R31:T31)=0,0,SUM(R31:T31)/'Sch TOU-PA Cust Fcst'!F30)</f>
        <v>0</v>
      </c>
      <c r="V31" s="33">
        <f>'Sch TOU-PA Cust Fcst'!G30*'Non-Residential TSM UC Adj'!R31</f>
        <v>0</v>
      </c>
      <c r="W31" s="23">
        <f>'Sch TOU-PA Cust Fcst'!G30*'Non-Residential TSM UC Adj'!S31</f>
        <v>0</v>
      </c>
      <c r="X31" s="23">
        <f>'Sch TOU-PA Cust Fcst'!G30*'Non-Residential TSM UC Adj'!T31</f>
        <v>0</v>
      </c>
      <c r="Y31" s="41">
        <f>IF(SUM(V31:X31)=0,0,SUM(V31:X31)/'Sch TOU-PA Cust Fcst'!G30)</f>
        <v>0</v>
      </c>
      <c r="Z31" s="23">
        <f t="shared" si="1"/>
        <v>0</v>
      </c>
      <c r="AA31" s="23">
        <f t="shared" si="1"/>
        <v>0</v>
      </c>
      <c r="AB31" s="23">
        <f t="shared" si="1"/>
        <v>0</v>
      </c>
      <c r="AC31" s="41">
        <f>IF(SUM(Z31:AB31)=0,0,SUM(Z31:AB31)/'Sch TOU-PA Cust Fcst'!H30)</f>
        <v>0</v>
      </c>
    </row>
    <row r="32" spans="1:29">
      <c r="A32" s="124" t="s">
        <v>24</v>
      </c>
      <c r="B32" s="109">
        <f>'Sch TOU-PA Cust Fcst'!B31*'Non-Residential TSM UC Adj'!J32</f>
        <v>0</v>
      </c>
      <c r="C32" s="23">
        <f>'Sch TOU-PA Cust Fcst'!B31*'Non-Residential TSM UC Adj'!K32</f>
        <v>0</v>
      </c>
      <c r="D32" s="23">
        <f>'Sch TOU-PA Cust Fcst'!B31*'Non-Residential TSM UC Adj'!L32</f>
        <v>0</v>
      </c>
      <c r="E32" s="41">
        <f>IF(SUM(B32:D32)=0,0,SUM(B32:D32)/'Sch TOU-PA Cust Fcst'!B31)</f>
        <v>0</v>
      </c>
      <c r="F32" s="109">
        <f>'Sch TOU-PA Cust Fcst'!C31*'Non-Residential TSM UC Adj'!J32</f>
        <v>0</v>
      </c>
      <c r="G32" s="23">
        <f>'Sch TOU-PA Cust Fcst'!C31*'Non-Residential TSM UC Adj'!K32</f>
        <v>0</v>
      </c>
      <c r="H32" s="23">
        <f>'Sch TOU-PA Cust Fcst'!C31*'Non-Residential TSM UC Adj'!L32</f>
        <v>0</v>
      </c>
      <c r="I32" s="41">
        <f>IF(SUM(F32:H32)=0,0,SUM(F32:H32)/'Sch TOU-PA Cust Fcst'!C31)</f>
        <v>0</v>
      </c>
      <c r="J32" s="109">
        <f>'Sch TOU-PA Cust Fcst'!D31*'Non-Residential TSM UC Adj'!J32</f>
        <v>0</v>
      </c>
      <c r="K32" s="23">
        <f>'Sch TOU-PA Cust Fcst'!D31*'Non-Residential TSM UC Adj'!K32</f>
        <v>0</v>
      </c>
      <c r="L32" s="23">
        <f>'Sch TOU-PA Cust Fcst'!D31*'Non-Residential TSM UC Adj'!L32</f>
        <v>0</v>
      </c>
      <c r="M32" s="41">
        <f>IF(SUM(J32:L32)=0,0,SUM(J32:L32)/'Sch TOU-PA Cust Fcst'!D31)</f>
        <v>0</v>
      </c>
      <c r="N32" s="109">
        <f>'Sch TOU-PA Cust Fcst'!E31*'Non-Residential TSM UC Adj'!N32</f>
        <v>0</v>
      </c>
      <c r="O32" s="23">
        <f>'Sch TOU-PA Cust Fcst'!E31*'Non-Residential TSM UC Adj'!O32</f>
        <v>0</v>
      </c>
      <c r="P32" s="23">
        <f>'Sch TOU-PA Cust Fcst'!E31*'Non-Residential TSM UC Adj'!P32</f>
        <v>0</v>
      </c>
      <c r="Q32" s="41">
        <f>IF(SUM(N32:P32)=0,0,SUM(N32:P32)/'Sch TOU-PA Cust Fcst'!E31)</f>
        <v>0</v>
      </c>
      <c r="R32" s="109">
        <f t="shared" si="0"/>
        <v>0</v>
      </c>
      <c r="S32" s="23">
        <f t="shared" si="0"/>
        <v>0</v>
      </c>
      <c r="T32" s="23">
        <f t="shared" si="0"/>
        <v>0</v>
      </c>
      <c r="U32" s="41">
        <f>IF(SUM(R32:T32)=0,0,SUM(R32:T32)/'Sch TOU-PA Cust Fcst'!F31)</f>
        <v>0</v>
      </c>
      <c r="V32" s="33">
        <f>'Sch TOU-PA Cust Fcst'!G31*'Non-Residential TSM UC Adj'!R32</f>
        <v>0</v>
      </c>
      <c r="W32" s="23">
        <f>'Sch TOU-PA Cust Fcst'!G31*'Non-Residential TSM UC Adj'!S32</f>
        <v>0</v>
      </c>
      <c r="X32" s="23">
        <f>'Sch TOU-PA Cust Fcst'!G31*'Non-Residential TSM UC Adj'!T32</f>
        <v>0</v>
      </c>
      <c r="Y32" s="41">
        <f>IF(SUM(V32:X32)=0,0,SUM(V32:X32)/'Sch TOU-PA Cust Fcst'!G31)</f>
        <v>0</v>
      </c>
      <c r="Z32" s="23">
        <f t="shared" si="1"/>
        <v>0</v>
      </c>
      <c r="AA32" s="23">
        <f t="shared" si="1"/>
        <v>0</v>
      </c>
      <c r="AB32" s="23">
        <f t="shared" si="1"/>
        <v>0</v>
      </c>
      <c r="AC32" s="41">
        <f>IF(SUM(Z32:AB32)=0,0,SUM(Z32:AB32)/'Sch TOU-PA Cust Fcst'!H31)</f>
        <v>0</v>
      </c>
    </row>
    <row r="33" spans="1:29">
      <c r="A33" s="124" t="s">
        <v>25</v>
      </c>
      <c r="B33" s="109">
        <f>'Sch TOU-PA Cust Fcst'!B32*'Non-Residential TSM UC Adj'!J33</f>
        <v>0</v>
      </c>
      <c r="C33" s="23">
        <f>'Sch TOU-PA Cust Fcst'!B32*'Non-Residential TSM UC Adj'!K33</f>
        <v>0</v>
      </c>
      <c r="D33" s="23">
        <f>'Sch TOU-PA Cust Fcst'!B32*'Non-Residential TSM UC Adj'!L33</f>
        <v>0</v>
      </c>
      <c r="E33" s="41">
        <f>IF(SUM(B33:D33)=0,0,SUM(B33:D33)/'Sch TOU-PA Cust Fcst'!B32)</f>
        <v>0</v>
      </c>
      <c r="F33" s="109">
        <f>'Sch TOU-PA Cust Fcst'!C32*'Non-Residential TSM UC Adj'!J33</f>
        <v>0</v>
      </c>
      <c r="G33" s="23">
        <f>'Sch TOU-PA Cust Fcst'!C32*'Non-Residential TSM UC Adj'!K33</f>
        <v>0</v>
      </c>
      <c r="H33" s="23">
        <f>'Sch TOU-PA Cust Fcst'!C32*'Non-Residential TSM UC Adj'!L33</f>
        <v>0</v>
      </c>
      <c r="I33" s="41">
        <f>IF(SUM(F33:H33)=0,0,SUM(F33:H33)/'Sch TOU-PA Cust Fcst'!C32)</f>
        <v>0</v>
      </c>
      <c r="J33" s="109">
        <f>'Sch TOU-PA Cust Fcst'!D32*'Non-Residential TSM UC Adj'!J33</f>
        <v>0</v>
      </c>
      <c r="K33" s="23">
        <f>'Sch TOU-PA Cust Fcst'!D32*'Non-Residential TSM UC Adj'!K33</f>
        <v>0</v>
      </c>
      <c r="L33" s="23">
        <f>'Sch TOU-PA Cust Fcst'!D32*'Non-Residential TSM UC Adj'!L33</f>
        <v>0</v>
      </c>
      <c r="M33" s="41">
        <f>IF(SUM(J33:L33)=0,0,SUM(J33:L33)/'Sch TOU-PA Cust Fcst'!D32)</f>
        <v>0</v>
      </c>
      <c r="N33" s="109">
        <f>'Sch TOU-PA Cust Fcst'!E32*'Non-Residential TSM UC Adj'!N33</f>
        <v>0</v>
      </c>
      <c r="O33" s="23">
        <f>'Sch TOU-PA Cust Fcst'!E32*'Non-Residential TSM UC Adj'!O33</f>
        <v>0</v>
      </c>
      <c r="P33" s="23">
        <f>'Sch TOU-PA Cust Fcst'!E32*'Non-Residential TSM UC Adj'!P33</f>
        <v>0</v>
      </c>
      <c r="Q33" s="41">
        <f>IF(SUM(N33:P33)=0,0,SUM(N33:P33)/'Sch TOU-PA Cust Fcst'!E32)</f>
        <v>0</v>
      </c>
      <c r="R33" s="109">
        <f t="shared" si="0"/>
        <v>0</v>
      </c>
      <c r="S33" s="23">
        <f t="shared" si="0"/>
        <v>0</v>
      </c>
      <c r="T33" s="23">
        <f t="shared" si="0"/>
        <v>0</v>
      </c>
      <c r="U33" s="41">
        <f>IF(SUM(R33:T33)=0,0,SUM(R33:T33)/'Sch TOU-PA Cust Fcst'!F32)</f>
        <v>0</v>
      </c>
      <c r="V33" s="33">
        <f>'Sch TOU-PA Cust Fcst'!G32*'Non-Residential TSM UC Adj'!R33</f>
        <v>0</v>
      </c>
      <c r="W33" s="23">
        <f>'Sch TOU-PA Cust Fcst'!G32*'Non-Residential TSM UC Adj'!S33</f>
        <v>0</v>
      </c>
      <c r="X33" s="23">
        <f>'Sch TOU-PA Cust Fcst'!G32*'Non-Residential TSM UC Adj'!T33</f>
        <v>0</v>
      </c>
      <c r="Y33" s="41">
        <f>IF(SUM(V33:X33)=0,0,SUM(V33:X33)/'Sch TOU-PA Cust Fcst'!G32)</f>
        <v>0</v>
      </c>
      <c r="Z33" s="23">
        <f t="shared" si="1"/>
        <v>0</v>
      </c>
      <c r="AA33" s="23">
        <f t="shared" si="1"/>
        <v>0</v>
      </c>
      <c r="AB33" s="23">
        <f t="shared" si="1"/>
        <v>0</v>
      </c>
      <c r="AC33" s="41">
        <f>IF(SUM(Z33:AB33)=0,0,SUM(Z33:AB33)/'Sch TOU-PA Cust Fcst'!H32)</f>
        <v>0</v>
      </c>
    </row>
    <row r="34" spans="1:29">
      <c r="A34" s="124" t="s">
        <v>111</v>
      </c>
      <c r="B34" s="109">
        <f>'Sch TOU-PA Cust Fcst'!B33*'Non-Residential TSM UC Adj'!J34</f>
        <v>0</v>
      </c>
      <c r="C34" s="23">
        <f>'Sch TOU-PA Cust Fcst'!B33*'Non-Residential TSM UC Adj'!K34</f>
        <v>0</v>
      </c>
      <c r="D34" s="23">
        <f>'Sch TOU-PA Cust Fcst'!B33*'Non-Residential TSM UC Adj'!L34</f>
        <v>0</v>
      </c>
      <c r="E34" s="41">
        <f>IF(SUM(B34:D34)=0,0,SUM(B34:D34)/'Sch TOU-PA Cust Fcst'!B33)</f>
        <v>0</v>
      </c>
      <c r="F34" s="109">
        <f>'Sch TOU-PA Cust Fcst'!C33*'Non-Residential TSM UC Adj'!J34</f>
        <v>0</v>
      </c>
      <c r="G34" s="23">
        <f>'Sch TOU-PA Cust Fcst'!C33*'Non-Residential TSM UC Adj'!K34</f>
        <v>0</v>
      </c>
      <c r="H34" s="23">
        <f>'Sch TOU-PA Cust Fcst'!C33*'Non-Residential TSM UC Adj'!L34</f>
        <v>0</v>
      </c>
      <c r="I34" s="41">
        <f>IF(SUM(F34:H34)=0,0,SUM(F34:H34)/'Sch TOU-PA Cust Fcst'!C33)</f>
        <v>0</v>
      </c>
      <c r="J34" s="109">
        <f>'Sch TOU-PA Cust Fcst'!D33*'Non-Residential TSM UC Adj'!J34</f>
        <v>0</v>
      </c>
      <c r="K34" s="23">
        <f>'Sch TOU-PA Cust Fcst'!D33*'Non-Residential TSM UC Adj'!K34</f>
        <v>0</v>
      </c>
      <c r="L34" s="23">
        <f>'Sch TOU-PA Cust Fcst'!D33*'Non-Residential TSM UC Adj'!L34</f>
        <v>0</v>
      </c>
      <c r="M34" s="41">
        <f>IF(SUM(J34:L34)=0,0,SUM(J34:L34)/'Sch TOU-PA Cust Fcst'!D33)</f>
        <v>0</v>
      </c>
      <c r="N34" s="109">
        <f>'Sch TOU-PA Cust Fcst'!E33*'Non-Residential TSM UC Adj'!N34</f>
        <v>0</v>
      </c>
      <c r="O34" s="23">
        <f>'Sch TOU-PA Cust Fcst'!E33*'Non-Residential TSM UC Adj'!O34</f>
        <v>0</v>
      </c>
      <c r="P34" s="23">
        <f>'Sch TOU-PA Cust Fcst'!E33*'Non-Residential TSM UC Adj'!P34</f>
        <v>0</v>
      </c>
      <c r="Q34" s="41">
        <f>IF(SUM(N34:P34)=0,0,SUM(N34:P34)/'Sch TOU-PA Cust Fcst'!E33)</f>
        <v>0</v>
      </c>
      <c r="R34" s="109">
        <f t="shared" si="0"/>
        <v>0</v>
      </c>
      <c r="S34" s="23">
        <f t="shared" si="0"/>
        <v>0</v>
      </c>
      <c r="T34" s="23">
        <f t="shared" si="0"/>
        <v>0</v>
      </c>
      <c r="U34" s="41">
        <f>IF(SUM(R34:T34)=0,0,SUM(R34:T34)/'Sch TOU-PA Cust Fcst'!F33)</f>
        <v>0</v>
      </c>
      <c r="V34" s="33">
        <f>'Sch TOU-PA Cust Fcst'!G33*'Non-Residential TSM UC Adj'!R34</f>
        <v>0</v>
      </c>
      <c r="W34" s="23">
        <f>'Sch TOU-PA Cust Fcst'!G33*'Non-Residential TSM UC Adj'!S34</f>
        <v>0</v>
      </c>
      <c r="X34" s="23">
        <f>'Sch TOU-PA Cust Fcst'!G33*'Non-Residential TSM UC Adj'!T34</f>
        <v>0</v>
      </c>
      <c r="Y34" s="41">
        <f>IF(SUM(V34:X34)=0,0,SUM(V34:X34)/'Sch TOU-PA Cust Fcst'!G33)</f>
        <v>0</v>
      </c>
      <c r="Z34" s="23">
        <f t="shared" si="1"/>
        <v>0</v>
      </c>
      <c r="AA34" s="23">
        <f t="shared" si="1"/>
        <v>0</v>
      </c>
      <c r="AB34" s="23">
        <f t="shared" si="1"/>
        <v>0</v>
      </c>
      <c r="AC34" s="41">
        <f>IF(SUM(Z34:AB34)=0,0,SUM(Z34:AB34)/'Sch TOU-PA Cust Fcst'!H33)</f>
        <v>0</v>
      </c>
    </row>
    <row r="35" spans="1:29">
      <c r="A35" s="124" t="s">
        <v>112</v>
      </c>
      <c r="B35" s="109">
        <f>'Sch TOU-PA Cust Fcst'!B34*'Non-Residential TSM UC Adj'!J35</f>
        <v>0</v>
      </c>
      <c r="C35" s="23">
        <f>'Sch TOU-PA Cust Fcst'!B34*'Non-Residential TSM UC Adj'!K35</f>
        <v>0</v>
      </c>
      <c r="D35" s="23">
        <f>'Sch TOU-PA Cust Fcst'!B34*'Non-Residential TSM UC Adj'!L35</f>
        <v>0</v>
      </c>
      <c r="E35" s="41">
        <f>IF(SUM(B35:D35)=0,0,SUM(B35:D35)/'Sch TOU-PA Cust Fcst'!B34)</f>
        <v>0</v>
      </c>
      <c r="F35" s="109">
        <f>'Sch TOU-PA Cust Fcst'!C34*'Non-Residential TSM UC Adj'!J35</f>
        <v>0</v>
      </c>
      <c r="G35" s="23">
        <f>'Sch TOU-PA Cust Fcst'!C34*'Non-Residential TSM UC Adj'!K35</f>
        <v>0</v>
      </c>
      <c r="H35" s="23">
        <f>'Sch TOU-PA Cust Fcst'!C34*'Non-Residential TSM UC Adj'!L35</f>
        <v>0</v>
      </c>
      <c r="I35" s="41">
        <f>IF(SUM(F35:H35)=0,0,SUM(F35:H35)/'Sch TOU-PA Cust Fcst'!C34)</f>
        <v>0</v>
      </c>
      <c r="J35" s="109">
        <f>'Sch TOU-PA Cust Fcst'!D34*'Non-Residential TSM UC Adj'!J35</f>
        <v>0</v>
      </c>
      <c r="K35" s="23">
        <f>'Sch TOU-PA Cust Fcst'!D34*'Non-Residential TSM UC Adj'!K35</f>
        <v>0</v>
      </c>
      <c r="L35" s="23">
        <f>'Sch TOU-PA Cust Fcst'!D34*'Non-Residential TSM UC Adj'!L35</f>
        <v>0</v>
      </c>
      <c r="M35" s="41">
        <f>IF(SUM(J35:L35)=0,0,SUM(J35:L35)/'Sch TOU-PA Cust Fcst'!D34)</f>
        <v>0</v>
      </c>
      <c r="N35" s="109">
        <f>'Sch TOU-PA Cust Fcst'!E34*'Non-Residential TSM UC Adj'!N35</f>
        <v>0</v>
      </c>
      <c r="O35" s="23">
        <f>'Sch TOU-PA Cust Fcst'!E34*'Non-Residential TSM UC Adj'!O35</f>
        <v>0</v>
      </c>
      <c r="P35" s="23">
        <f>'Sch TOU-PA Cust Fcst'!E34*'Non-Residential TSM UC Adj'!P35</f>
        <v>0</v>
      </c>
      <c r="Q35" s="41">
        <f>IF(SUM(N35:P35)=0,0,SUM(N35:P35)/'Sch TOU-PA Cust Fcst'!E34)</f>
        <v>0</v>
      </c>
      <c r="R35" s="109">
        <f t="shared" si="0"/>
        <v>0</v>
      </c>
      <c r="S35" s="23">
        <f t="shared" si="0"/>
        <v>0</v>
      </c>
      <c r="T35" s="23">
        <f t="shared" si="0"/>
        <v>0</v>
      </c>
      <c r="U35" s="41">
        <f>IF(SUM(R35:T35)=0,0,SUM(R35:T35)/'Sch TOU-PA Cust Fcst'!F34)</f>
        <v>0</v>
      </c>
      <c r="V35" s="33">
        <f>'Sch TOU-PA Cust Fcst'!G34*'Non-Residential TSM UC Adj'!R35</f>
        <v>0</v>
      </c>
      <c r="W35" s="23">
        <f>'Sch TOU-PA Cust Fcst'!G34*'Non-Residential TSM UC Adj'!S35</f>
        <v>0</v>
      </c>
      <c r="X35" s="23">
        <f>'Sch TOU-PA Cust Fcst'!G34*'Non-Residential TSM UC Adj'!T35</f>
        <v>0</v>
      </c>
      <c r="Y35" s="41">
        <f>IF(SUM(V35:X35)=0,0,SUM(V35:X35)/'Sch TOU-PA Cust Fcst'!G34)</f>
        <v>0</v>
      </c>
      <c r="Z35" s="23">
        <f t="shared" si="1"/>
        <v>0</v>
      </c>
      <c r="AA35" s="23">
        <f t="shared" si="1"/>
        <v>0</v>
      </c>
      <c r="AB35" s="23">
        <f t="shared" si="1"/>
        <v>0</v>
      </c>
      <c r="AC35" s="41">
        <f>IF(SUM(Z35:AB35)=0,0,SUM(Z35:AB35)/'Sch TOU-PA Cust Fcst'!H34)</f>
        <v>0</v>
      </c>
    </row>
    <row r="36" spans="1:29">
      <c r="A36" s="126" t="s">
        <v>26</v>
      </c>
      <c r="B36" s="109">
        <f>'Sch TOU-PA Cust Fcst'!B35*'Non-Residential TSM UC Adj'!J36</f>
        <v>0</v>
      </c>
      <c r="C36" s="23">
        <f>'Sch TOU-PA Cust Fcst'!B35*'Non-Residential TSM UC Adj'!K36</f>
        <v>0</v>
      </c>
      <c r="D36" s="23">
        <f>'Sch TOU-PA Cust Fcst'!B35*'Non-Residential TSM UC Adj'!L36</f>
        <v>0</v>
      </c>
      <c r="E36" s="41">
        <f>IF(SUM(B36:D36)=0,0,SUM(B36:D36)/'Sch TOU-PA Cust Fcst'!B35)</f>
        <v>0</v>
      </c>
      <c r="F36" s="109">
        <f>'Sch TOU-PA Cust Fcst'!C35*'Non-Residential TSM UC Adj'!J36</f>
        <v>0</v>
      </c>
      <c r="G36" s="23">
        <f>'Sch TOU-PA Cust Fcst'!C35*'Non-Residential TSM UC Adj'!K36</f>
        <v>0</v>
      </c>
      <c r="H36" s="23">
        <f>'Sch TOU-PA Cust Fcst'!C35*'Non-Residential TSM UC Adj'!L36</f>
        <v>0</v>
      </c>
      <c r="I36" s="41">
        <f>IF(SUM(F36:H36)=0,0,SUM(F36:H36)/'Sch TOU-PA Cust Fcst'!C35)</f>
        <v>0</v>
      </c>
      <c r="J36" s="109">
        <f>'Sch TOU-PA Cust Fcst'!D35*'Non-Residential TSM UC Adj'!J36</f>
        <v>0</v>
      </c>
      <c r="K36" s="23">
        <f>'Sch TOU-PA Cust Fcst'!D35*'Non-Residential TSM UC Adj'!K36</f>
        <v>0</v>
      </c>
      <c r="L36" s="23">
        <f>'Sch TOU-PA Cust Fcst'!D35*'Non-Residential TSM UC Adj'!L36</f>
        <v>0</v>
      </c>
      <c r="M36" s="41">
        <f>IF(SUM(J36:L36)=0,0,SUM(J36:L36)/'Sch TOU-PA Cust Fcst'!D35)</f>
        <v>0</v>
      </c>
      <c r="N36" s="109">
        <f>'Sch TOU-PA Cust Fcst'!E35*'Non-Residential TSM UC Adj'!N36</f>
        <v>0</v>
      </c>
      <c r="O36" s="23">
        <f>'Sch TOU-PA Cust Fcst'!E35*'Non-Residential TSM UC Adj'!O36</f>
        <v>0</v>
      </c>
      <c r="P36" s="23">
        <f>'Sch TOU-PA Cust Fcst'!E35*'Non-Residential TSM UC Adj'!P36</f>
        <v>0</v>
      </c>
      <c r="Q36" s="41">
        <f>IF(SUM(N36:P36)=0,0,SUM(N36:P36)/'Sch TOU-PA Cust Fcst'!E35)</f>
        <v>0</v>
      </c>
      <c r="R36" s="109">
        <f t="shared" si="0"/>
        <v>0</v>
      </c>
      <c r="S36" s="23">
        <f t="shared" si="0"/>
        <v>0</v>
      </c>
      <c r="T36" s="23">
        <f t="shared" si="0"/>
        <v>0</v>
      </c>
      <c r="U36" s="41">
        <f>IF(SUM(R36:T36)=0,0,SUM(R36:T36)/'Sch TOU-PA Cust Fcst'!F35)</f>
        <v>0</v>
      </c>
      <c r="V36" s="33">
        <f>'Sch TOU-PA Cust Fcst'!G35*'Non-Residential TSM UC Adj'!R36</f>
        <v>0</v>
      </c>
      <c r="W36" s="23">
        <f>'Sch TOU-PA Cust Fcst'!G35*'Non-Residential TSM UC Adj'!S36</f>
        <v>0</v>
      </c>
      <c r="X36" s="23">
        <f>'Sch TOU-PA Cust Fcst'!G35*'Non-Residential TSM UC Adj'!T36</f>
        <v>0</v>
      </c>
      <c r="Y36" s="41">
        <f>IF(SUM(V36:X36)=0,0,SUM(V36:X36)/'Sch TOU-PA Cust Fcst'!G35)</f>
        <v>0</v>
      </c>
      <c r="Z36" s="23">
        <f t="shared" si="1"/>
        <v>0</v>
      </c>
      <c r="AA36" s="23">
        <f t="shared" si="1"/>
        <v>0</v>
      </c>
      <c r="AB36" s="23">
        <f t="shared" si="1"/>
        <v>0</v>
      </c>
      <c r="AC36" s="41">
        <f>IF(SUM(Z36:AB36)=0,0,SUM(Z36:AB36)/'Sch TOU-PA Cust Fcst'!H35)</f>
        <v>0</v>
      </c>
    </row>
    <row r="37" spans="1:29">
      <c r="A37" s="126" t="s">
        <v>27</v>
      </c>
      <c r="B37" s="109">
        <f>'Sch TOU-PA Cust Fcst'!B36*'Non-Residential TSM UC Adj'!J37</f>
        <v>0</v>
      </c>
      <c r="C37" s="23">
        <f>'Sch TOU-PA Cust Fcst'!B36*'Non-Residential TSM UC Adj'!K37</f>
        <v>0</v>
      </c>
      <c r="D37" s="23">
        <f>'Sch TOU-PA Cust Fcst'!B36*'Non-Residential TSM UC Adj'!L37</f>
        <v>0</v>
      </c>
      <c r="E37" s="41">
        <f>IF(SUM(B37:D37)=0,0,SUM(B37:D37)/'Sch TOU-PA Cust Fcst'!B36)</f>
        <v>0</v>
      </c>
      <c r="F37" s="109">
        <f>'Sch TOU-PA Cust Fcst'!C36*'Non-Residential TSM UC Adj'!J37</f>
        <v>0</v>
      </c>
      <c r="G37" s="23">
        <f>'Sch TOU-PA Cust Fcst'!C36*'Non-Residential TSM UC Adj'!K37</f>
        <v>0</v>
      </c>
      <c r="H37" s="23">
        <f>'Sch TOU-PA Cust Fcst'!C36*'Non-Residential TSM UC Adj'!L37</f>
        <v>0</v>
      </c>
      <c r="I37" s="41">
        <f>IF(SUM(F37:H37)=0,0,SUM(F37:H37)/'Sch TOU-PA Cust Fcst'!C36)</f>
        <v>0</v>
      </c>
      <c r="J37" s="109">
        <f>'Sch TOU-PA Cust Fcst'!D36*'Non-Residential TSM UC Adj'!J37</f>
        <v>0</v>
      </c>
      <c r="K37" s="23">
        <f>'Sch TOU-PA Cust Fcst'!D36*'Non-Residential TSM UC Adj'!K37</f>
        <v>0</v>
      </c>
      <c r="L37" s="23">
        <f>'Sch TOU-PA Cust Fcst'!D36*'Non-Residential TSM UC Adj'!L37</f>
        <v>0</v>
      </c>
      <c r="M37" s="41">
        <f>IF(SUM(J37:L37)=0,0,SUM(J37:L37)/'Sch TOU-PA Cust Fcst'!D36)</f>
        <v>0</v>
      </c>
      <c r="N37" s="109">
        <f>'Sch TOU-PA Cust Fcst'!E36*'Non-Residential TSM UC Adj'!N37</f>
        <v>0</v>
      </c>
      <c r="O37" s="23">
        <f>'Sch TOU-PA Cust Fcst'!E36*'Non-Residential TSM UC Adj'!O37</f>
        <v>0</v>
      </c>
      <c r="P37" s="23">
        <f>'Sch TOU-PA Cust Fcst'!E36*'Non-Residential TSM UC Adj'!P37</f>
        <v>0</v>
      </c>
      <c r="Q37" s="41">
        <f>IF(SUM(N37:P37)=0,0,SUM(N37:P37)/'Sch TOU-PA Cust Fcst'!E36)</f>
        <v>0</v>
      </c>
      <c r="R37" s="109">
        <f t="shared" si="0"/>
        <v>0</v>
      </c>
      <c r="S37" s="23">
        <f t="shared" si="0"/>
        <v>0</v>
      </c>
      <c r="T37" s="23">
        <f t="shared" si="0"/>
        <v>0</v>
      </c>
      <c r="U37" s="41">
        <f>IF(SUM(R37:T37)=0,0,SUM(R37:T37)/'Sch TOU-PA Cust Fcst'!F36)</f>
        <v>0</v>
      </c>
      <c r="V37" s="33">
        <f>'Sch TOU-PA Cust Fcst'!G36*'Non-Residential TSM UC Adj'!R37</f>
        <v>0</v>
      </c>
      <c r="W37" s="23">
        <f>'Sch TOU-PA Cust Fcst'!G36*'Non-Residential TSM UC Adj'!S37</f>
        <v>0</v>
      </c>
      <c r="X37" s="23">
        <f>'Sch TOU-PA Cust Fcst'!G36*'Non-Residential TSM UC Adj'!T37</f>
        <v>0</v>
      </c>
      <c r="Y37" s="41">
        <f>IF(SUM(V37:X37)=0,0,SUM(V37:X37)/'Sch TOU-PA Cust Fcst'!G36)</f>
        <v>0</v>
      </c>
      <c r="Z37" s="23">
        <f t="shared" si="1"/>
        <v>0</v>
      </c>
      <c r="AA37" s="23">
        <f t="shared" si="1"/>
        <v>0</v>
      </c>
      <c r="AB37" s="23">
        <f t="shared" si="1"/>
        <v>0</v>
      </c>
      <c r="AC37" s="41">
        <f>IF(SUM(Z37:AB37)=0,0,SUM(Z37:AB37)/'Sch TOU-PA Cust Fcst'!H36)</f>
        <v>0</v>
      </c>
    </row>
    <row r="38" spans="1:29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09"/>
      <c r="S38" s="23"/>
      <c r="T38" s="23"/>
      <c r="U38" s="41"/>
      <c r="V38" s="23"/>
      <c r="W38" s="23"/>
      <c r="X38" s="23"/>
      <c r="Y38" s="14"/>
      <c r="Z38" s="23"/>
      <c r="AA38" s="23"/>
      <c r="AB38" s="23"/>
      <c r="AC38" s="14"/>
    </row>
    <row r="39" spans="1:29" ht="13.5" thickBot="1">
      <c r="A39" s="211" t="s">
        <v>133</v>
      </c>
      <c r="B39" s="228">
        <f>IF(SUM(B$7:B$37)=0,0,SUM(B$7:B$37)/'Sch TOU-PA Cust Fcst'!$B$38)</f>
        <v>0</v>
      </c>
      <c r="C39" s="227">
        <f>IF(SUM(C$7:C$37)=0,0,SUM(C$7:C$37)/'Sch TOU-PA Cust Fcst'!$B$38)</f>
        <v>0</v>
      </c>
      <c r="D39" s="227">
        <f>IF(SUM(D$7:D$37)=0,0,SUM(D$7:D$37)/'Sch TOU-PA Cust Fcst'!$B$38)</f>
        <v>0</v>
      </c>
      <c r="E39" s="227">
        <f>SUM(B39:D39)</f>
        <v>0</v>
      </c>
      <c r="F39" s="241">
        <f>IF(SUM(F$7:F$37)=0,0,SUM(F$7:F$37)/'Sch TOU-PA Cust Fcst'!$C$38)</f>
        <v>2016.8186560564311</v>
      </c>
      <c r="G39" s="242">
        <f>IF(SUM(G$7:G$37)=0,0,SUM(G$7:G$37)/'Sch TOU-PA Cust Fcst'!$C$38)</f>
        <v>718.29191911453245</v>
      </c>
      <c r="H39" s="242">
        <f>IF(SUM(H$7:H$37)=0,0,SUM(H$7:H$37)/'Sch TOU-PA Cust Fcst'!$C$38)</f>
        <v>297.01685728884092</v>
      </c>
      <c r="I39" s="242">
        <f>SUM(F39:H39)</f>
        <v>3032.1274324598048</v>
      </c>
      <c r="J39" s="241">
        <f>IF(SUM(J$7:J$37)=0,0,SUM(J$7:J$37)/'Sch TOU-PA Cust Fcst'!$D$38)</f>
        <v>0</v>
      </c>
      <c r="K39" s="242">
        <f>IF(SUM(K$7:K$37)=0,0,SUM(K$7:K$37)/'Sch TOU-PA Cust Fcst'!$D$38)</f>
        <v>0</v>
      </c>
      <c r="L39" s="242">
        <f>IF(SUM(L$7:L$37)=0,0,SUM(L$7:L$37)/'Sch TOU-PA Cust Fcst'!$D$38)</f>
        <v>0</v>
      </c>
      <c r="M39" s="242">
        <f>SUM(J39:L39)</f>
        <v>0</v>
      </c>
      <c r="N39" s="241">
        <f>IF(SUM(N$7:N$37)=0,0,SUM(N$7:N$37)/'Sch TOU-PA Cust Fcst'!$E$38)</f>
        <v>7709.599519778877</v>
      </c>
      <c r="O39" s="242">
        <f>IF(SUM(O$7:O$37)=0,0,SUM(O$7:O$37)/'Sch TOU-PA Cust Fcst'!$E$38)</f>
        <v>2245.6004705125683</v>
      </c>
      <c r="P39" s="242">
        <f>IF(SUM(P$7:P$37)=0,0,SUM(P$7:P$37)/'Sch TOU-PA Cust Fcst'!$E$38)</f>
        <v>576.15496715818267</v>
      </c>
      <c r="Q39" s="242">
        <f>SUM(N39:P39)</f>
        <v>10531.354957449628</v>
      </c>
      <c r="R39" s="241">
        <f>IF(SUM(R$7:R$37)=0,0,SUM(R$7:R$37)/'Sch TOU-PA Cust Fcst'!$F$38)</f>
        <v>5812.005898538061</v>
      </c>
      <c r="S39" s="242">
        <f>IF(SUM(S$7:S$37)=0,0,SUM(S$7:S$37)/'Sch TOU-PA Cust Fcst'!$F$38)</f>
        <v>1736.4976200465562</v>
      </c>
      <c r="T39" s="242">
        <f>IF(SUM(T$7:T$37)=0,0,SUM(T$7:T$37)/'Sch TOU-PA Cust Fcst'!$F$38)</f>
        <v>483.10893053506874</v>
      </c>
      <c r="U39" s="242">
        <f>SUM(R39:T39)</f>
        <v>8031.6124491196861</v>
      </c>
      <c r="V39" s="241">
        <f>IF(SUM(V$7:V$37)=0,0,SUM(V$7:V$37)/'Sch TOU-PA Cust Fcst'!$G$38)</f>
        <v>0</v>
      </c>
      <c r="W39" s="242">
        <f>IF(SUM(W$7:W$37)=0,0,SUM(W$7:W$37)/'Sch TOU-PA Cust Fcst'!$G$38)</f>
        <v>0</v>
      </c>
      <c r="X39" s="242">
        <f>IF(SUM(X$7:X$37)=0,0,SUM(X$7:X$37)/'Sch TOU-PA Cust Fcst'!$G$38)</f>
        <v>0</v>
      </c>
      <c r="Y39" s="242">
        <f>SUM(V39:X39)</f>
        <v>0</v>
      </c>
      <c r="Z39" s="241">
        <f>IF(SUM(Z$7:Z$37)=0,0,SUM(Z$7:Z$37)/'Sch TOU-PA Cust Fcst'!$H$38)</f>
        <v>5812.005898538061</v>
      </c>
      <c r="AA39" s="242">
        <f>IF(SUM(AA$7:AA$37)=0,0,SUM(AA$7:AA$37)/'Sch TOU-PA Cust Fcst'!$H$38)</f>
        <v>1736.4976200465562</v>
      </c>
      <c r="AB39" s="242">
        <f>IF(SUM(AB$7:AB$37)=0,0,SUM(AB$7:AB$37)/'Sch TOU-PA Cust Fcst'!$H$38)</f>
        <v>483.10893053506874</v>
      </c>
      <c r="AC39" s="243">
        <f>SUM(Z39:AB39)</f>
        <v>8031.6124491196861</v>
      </c>
    </row>
    <row r="40" spans="1:29">
      <c r="A40" s="121" t="s">
        <v>134</v>
      </c>
      <c r="B40" s="228">
        <f>IF(SUM(B$7:B$10)=0,0,SUM(B$7:B$10)/'Sch TOU-PA Cust Fcst'!$B$39)</f>
        <v>0</v>
      </c>
      <c r="C40" s="227">
        <f>IF(SUM(C$7:C$10)=0,0,SUM(C$7:C$10)/'Sch TOU-PA Cust Fcst'!$B$39)</f>
        <v>0</v>
      </c>
      <c r="D40" s="227">
        <f>IF(SUM(D$7:D$10)=0,0,SUM(D$7:D$10)/'Sch TOU-PA Cust Fcst'!$B$39)</f>
        <v>0</v>
      </c>
      <c r="E40" s="227">
        <f>SUM(B40:D40)</f>
        <v>0</v>
      </c>
      <c r="F40" s="228">
        <f>IF(SUM(F$7:F$10)=0,0,SUM(F$7:F$10)/'Sch TOU-PA Cust Fcst'!$C$39)</f>
        <v>2016.8186560564311</v>
      </c>
      <c r="G40" s="227">
        <f>IF(SUM(G$7:G$10)=0,0,SUM(G$7:G$10)/'Sch TOU-PA Cust Fcst'!$C$39)</f>
        <v>718.29191911453245</v>
      </c>
      <c r="H40" s="227">
        <f>IF(SUM(H$7:H$10)=0,0,SUM(H$7:H$10)/'Sch TOU-PA Cust Fcst'!$C$39)</f>
        <v>297.01685728884092</v>
      </c>
      <c r="I40" s="227">
        <f>SUM(F40:H40)</f>
        <v>3032.1274324598048</v>
      </c>
      <c r="J40" s="228">
        <f>IF(SUM(J$7:J$10)=0,0,SUM(J$7:J$10)/'Sch TOU-PA Cust Fcst'!$D$39)</f>
        <v>0</v>
      </c>
      <c r="K40" s="227">
        <f>IF(SUM(K$7:K$10)=0,0,SUM(K$7:K$10)/'Sch TOU-PA Cust Fcst'!$D$39)</f>
        <v>0</v>
      </c>
      <c r="L40" s="227">
        <f>IF(SUM(L$7:L$10)=0,0,SUM(L$7:L$10)/'Sch TOU-PA Cust Fcst'!$D$39)</f>
        <v>0</v>
      </c>
      <c r="M40" s="227">
        <f>SUM(J40:L40)</f>
        <v>0</v>
      </c>
      <c r="N40" s="228">
        <f>IF(SUM(N$7:N$10)=0,0,SUM(N$7:N$10)/'Sch TOU-PA Cust Fcst'!$E$39)</f>
        <v>1250.7417533879686</v>
      </c>
      <c r="O40" s="227">
        <f>IF(SUM(O$7:O$10)=0,0,SUM(O$7:O$10)/'Sch TOU-PA Cust Fcst'!$E$39)</f>
        <v>609.82032510065369</v>
      </c>
      <c r="P40" s="227">
        <f>IF(SUM(P$7:P$10)=0,0,SUM(P$7:P$10)/'Sch TOU-PA Cust Fcst'!$E$39)</f>
        <v>297.01685728884092</v>
      </c>
      <c r="Q40" s="227">
        <f>SUM(N40:P40)</f>
        <v>2157.5789357774634</v>
      </c>
      <c r="R40" s="228">
        <f>IF(SUM(R$7:R$10)=0,0,SUM(R$7:R$10)/'Sch TOU-PA Cust Fcst'!$F$39)</f>
        <v>1633.7802047221999</v>
      </c>
      <c r="S40" s="227">
        <f>IF(SUM(S$7:S$10)=0,0,SUM(S$7:S$10)/'Sch TOU-PA Cust Fcst'!$F$39)</f>
        <v>664.05612210759307</v>
      </c>
      <c r="T40" s="227">
        <f>IF(SUM(T$7:T$10)=0,0,SUM(T$7:T$10)/'Sch TOU-PA Cust Fcst'!$F$39)</f>
        <v>297.01685728884092</v>
      </c>
      <c r="U40" s="227">
        <f>SUM(R40:T40)</f>
        <v>2594.8531841186341</v>
      </c>
      <c r="V40" s="228">
        <f>IF(SUM(V$7:V$10)=0,0,SUM(V$7:V$10)/'Sch TOU-PA Cust Fcst'!$G$39)</f>
        <v>0</v>
      </c>
      <c r="W40" s="227">
        <f>IF(SUM(W$7:W$10)=0,0,SUM(W$7:W$10)/'Sch TOU-PA Cust Fcst'!$G$39)</f>
        <v>0</v>
      </c>
      <c r="X40" s="227">
        <f>IF(SUM(X$7:X$10)=0,0,SUM(X$7:X$10)/'Sch TOU-PA Cust Fcst'!$G$39)</f>
        <v>0</v>
      </c>
      <c r="Y40" s="227">
        <f>SUM(V40:X40)</f>
        <v>0</v>
      </c>
      <c r="Z40" s="228">
        <f>IF(SUM(Z$7:Z$10)=0,0,SUM(Z$7:Z$10)/'Sch TOU-PA Cust Fcst'!$H$39)</f>
        <v>1633.7802047221999</v>
      </c>
      <c r="AA40" s="227">
        <f>IF(SUM(AA$7:AA$10)=0,0,SUM(AA$7:AA$10)/'Sch TOU-PA Cust Fcst'!$H$39)</f>
        <v>664.05612210759307</v>
      </c>
      <c r="AB40" s="227">
        <f>IF(SUM(AB$7:AB$10)=0,0,SUM(AB$7:AB$10)/'Sch TOU-PA Cust Fcst'!$H$39)</f>
        <v>297.01685728884092</v>
      </c>
      <c r="AC40" s="229">
        <f>SUM(Z40:AB40)</f>
        <v>2594.8531841186341</v>
      </c>
    </row>
    <row r="41" spans="1:29" ht="13.5" thickBot="1">
      <c r="A41" s="247" t="s">
        <v>215</v>
      </c>
      <c r="B41" s="180">
        <f>IF(SUM(B$11:B$37)=0,0,SUM(B$11:B$37)/'Sch TOU-PA Cust Fcst'!$B$40)</f>
        <v>0</v>
      </c>
      <c r="C41" s="176">
        <f>IF(SUM(C$11:C$37)=0,0,SUM(C$11:C$37)/'Sch TOU-PA Cust Fcst'!$B$40)</f>
        <v>0</v>
      </c>
      <c r="D41" s="176">
        <f>IF(SUM(D$11:D$37)=0,0,SUM(D$11:D$37)/'Sch TOU-PA Cust Fcst'!$B$40)</f>
        <v>0</v>
      </c>
      <c r="E41" s="176">
        <f>SUM(B41:D41)</f>
        <v>0</v>
      </c>
      <c r="F41" s="180">
        <f>IF(SUM(F$11:F$37)=0,0,SUM(F$11:F$37)/'Sch TOU-PA Cust Fcst'!$C$40)</f>
        <v>0</v>
      </c>
      <c r="G41" s="176">
        <f>IF(SUM(G$11:G$37)=0,0,SUM(G$11:G$37)/'Sch TOU-PA Cust Fcst'!$C$40)</f>
        <v>0</v>
      </c>
      <c r="H41" s="176">
        <f>IF(SUM(H$11:H$37)=0,0,SUM(H$11:H$37)/'Sch TOU-PA Cust Fcst'!$C$40)</f>
        <v>0</v>
      </c>
      <c r="I41" s="176">
        <f>SUM(F41:H41)</f>
        <v>0</v>
      </c>
      <c r="J41" s="180">
        <f>IF(SUM(J$11:J$37)=0,0,SUM(J$11:J$37)/'Sch TOU-PA Cust Fcst'!$D$40)</f>
        <v>0</v>
      </c>
      <c r="K41" s="176">
        <f>IF(SUM(K$11:K$37)=0,0,SUM(K$11:K$37)/'Sch TOU-PA Cust Fcst'!$D$40)</f>
        <v>0</v>
      </c>
      <c r="L41" s="176">
        <f>IF(SUM(L$11:L$37)=0,0,SUM(L$11:L$37)/'Sch TOU-PA Cust Fcst'!$D$40)</f>
        <v>0</v>
      </c>
      <c r="M41" s="176">
        <f>SUM(J41:L41)</f>
        <v>0</v>
      </c>
      <c r="N41" s="180">
        <f>IF(SUM(N$11:N$37)=0,0,SUM(N$11:N$37)/'Sch TOU-PA Cust Fcst'!$E$40)</f>
        <v>14168.457286169785</v>
      </c>
      <c r="O41" s="176">
        <f>IF(SUM(O$11:O$37)=0,0,SUM(O$11:O$37)/'Sch TOU-PA Cust Fcst'!$E$40)</f>
        <v>3881.3806159244828</v>
      </c>
      <c r="P41" s="176">
        <f>IF(SUM(P$11:P$37)=0,0,SUM(P$11:P$37)/'Sch TOU-PA Cust Fcst'!$E$40)</f>
        <v>855.2930770275243</v>
      </c>
      <c r="Q41" s="176">
        <f>SUM(N41:P41)</f>
        <v>18905.13097912179</v>
      </c>
      <c r="R41" s="180">
        <f>IF(SUM(R$11:R$37)=0,0,SUM(R$11:R$37)/'Sch TOU-PA Cust Fcst'!$F$40)</f>
        <v>14168.457286169785</v>
      </c>
      <c r="S41" s="176">
        <f>IF(SUM(S$11:S$37)=0,0,SUM(S$11:S$37)/'Sch TOU-PA Cust Fcst'!$F$40)</f>
        <v>3881.3806159244828</v>
      </c>
      <c r="T41" s="176">
        <f>IF(SUM(T$11:T$37)=0,0,SUM(T$11:T$37)/'Sch TOU-PA Cust Fcst'!$F$40)</f>
        <v>855.2930770275243</v>
      </c>
      <c r="U41" s="176">
        <f>SUM(R41:T41)</f>
        <v>18905.13097912179</v>
      </c>
      <c r="V41" s="180">
        <f>IF(SUM(V$11:V$37)=0,0,SUM(V$11:V$37)/'Sch TOU-PA Cust Fcst'!$G$40)</f>
        <v>0</v>
      </c>
      <c r="W41" s="176">
        <f>IF(SUM(W$11:W$37)=0,0,SUM(W$11:W$37)/'Sch TOU-PA Cust Fcst'!$G$40)</f>
        <v>0</v>
      </c>
      <c r="X41" s="176">
        <f>IF(SUM(X$11:X$37)=0,0,SUM(X$11:X$37)/'Sch TOU-PA Cust Fcst'!$G$40)</f>
        <v>0</v>
      </c>
      <c r="Y41" s="176">
        <f>SUM(V41:X41)</f>
        <v>0</v>
      </c>
      <c r="Z41" s="180">
        <f>IF(SUM(Z$11:Z$37)=0,0,SUM(Z$11:Z$37)/'Sch TOU-PA Cust Fcst'!$H$40)</f>
        <v>14168.457286169785</v>
      </c>
      <c r="AA41" s="176">
        <f>IF(SUM(AA$11:AA$37)=0,0,SUM(AA$11:AA$37)/'Sch TOU-PA Cust Fcst'!$H$40)</f>
        <v>3881.3806159244828</v>
      </c>
      <c r="AB41" s="176">
        <f>IF(SUM(AB$11:AB$37)=0,0,SUM(AB$11:AB$37)/'Sch TOU-PA Cust Fcst'!$H$40)</f>
        <v>855.2930770275243</v>
      </c>
      <c r="AC41" s="185">
        <f>SUM(Z41:AB41)</f>
        <v>18905.13097912179</v>
      </c>
    </row>
    <row r="42" spans="1:29">
      <c r="A42" t="s">
        <v>3</v>
      </c>
      <c r="E42" s="18"/>
      <c r="I42" s="18"/>
      <c r="M42" s="18"/>
      <c r="Q42" s="18"/>
      <c r="U42" s="18"/>
      <c r="Y42" s="18"/>
      <c r="AC42" s="18"/>
    </row>
    <row r="43" spans="1:29">
      <c r="A43" s="264" t="s">
        <v>91</v>
      </c>
      <c r="B43" s="18"/>
      <c r="E43" s="280">
        <f>IF(SUM(B7:D37)=0,0,SUM(B7:D37)/'Sch TOU-PA Cust Fcst'!B38)-E39</f>
        <v>0</v>
      </c>
      <c r="F43" s="18"/>
      <c r="I43" s="280">
        <f>IF(SUM(F7:H37)=0,0,SUM(F7:H37)/'Sch TOU-PA Cust Fcst'!C38)-I39</f>
        <v>0</v>
      </c>
      <c r="J43" s="18"/>
      <c r="M43" s="280">
        <f>IF(SUM(J7:L37)=0,0,SUM(J7:L37)/'Sch TOU-PA Cust Fcst'!D38)-M39</f>
        <v>0</v>
      </c>
      <c r="N43" s="18"/>
      <c r="Q43" s="280">
        <f>IF(SUM(N7:P37)=0,0,SUM(N7:P37)/'Sch TOU-PA Cust Fcst'!E38)-Q39</f>
        <v>0</v>
      </c>
      <c r="R43" s="18"/>
      <c r="U43" s="280">
        <f>IF(SUM(R7:T37)=0,0,SUM(R7:T37)/'Sch TOU-PA Cust Fcst'!F38)-U39</f>
        <v>0</v>
      </c>
      <c r="V43" s="18"/>
      <c r="Y43" s="280">
        <f>IF(SUM(V7:X37)=0,0,SUM(V7:X37)/'Sch TOU-PA Cust Fcst'!G38)-Y39</f>
        <v>0</v>
      </c>
      <c r="Z43" s="18"/>
      <c r="AC43" s="280">
        <f>IF(SUM(Z7:AB37)=0,0,SUM(Z7:AB37)/'Sch TOU-PA Cust Fcst'!H38)-AC39</f>
        <v>0</v>
      </c>
    </row>
    <row r="44" spans="1:29">
      <c r="B44" s="18"/>
      <c r="E44" s="280">
        <f>IF(SUM(B7:D10)=0,0,SUM(B7:D10)/'Sch TOU-PA Cust Fcst'!B39)-E40</f>
        <v>0</v>
      </c>
      <c r="F44" s="18"/>
      <c r="I44" s="280">
        <f>IF(SUM(F7:H10)=0,0,SUM(F7:H10)/'Sch TOU-PA Cust Fcst'!C39)-I40</f>
        <v>0</v>
      </c>
      <c r="J44" s="18"/>
      <c r="M44" s="280">
        <f>IF(SUM(J7:L10)=0,0,SUM(J7:L10)/'Sch TOU-PA Cust Fcst'!D39)-M40</f>
        <v>0</v>
      </c>
      <c r="N44" s="18"/>
      <c r="Q44" s="280">
        <f>IF(SUM(N7:P10)=0,0,SUM(N7:P10)/'Sch TOU-PA Cust Fcst'!E39)-Q40</f>
        <v>0</v>
      </c>
      <c r="R44" s="18"/>
      <c r="U44" s="280">
        <f>IF(SUM(R7:T10)=0,0,SUM(R7:T10)/'Sch TOU-PA Cust Fcst'!F39)-U40</f>
        <v>0</v>
      </c>
      <c r="V44" s="18"/>
      <c r="Y44" s="494">
        <f>IF(SUM(V7:X10)=0,0,SUM(V7:X10)/'Sch TOU-PA Cust Fcst'!G39)-Y40</f>
        <v>0</v>
      </c>
      <c r="Z44" s="18"/>
      <c r="AC44" s="280">
        <f>IF(SUM(Z7:AB10)=0,0,SUM(Z7:AB10)/'Sch TOU-PA Cust Fcst'!H39)-AC40</f>
        <v>0</v>
      </c>
    </row>
    <row r="45" spans="1:29">
      <c r="E45" s="280">
        <f>IF(SUM(B11:D37)=0,0,SUM(B11:D37)/'Sch TOU-PA Cust Fcst'!B40)-E41</f>
        <v>0</v>
      </c>
      <c r="I45" s="280">
        <f>IF(SUM(F11:H37)=0,0,SUM(F11:H37)/'Sch TOU-PA Cust Fcst'!C40)-I41</f>
        <v>0</v>
      </c>
      <c r="M45" s="280">
        <f>IF(SUM(J11:L37)=0,0,SUM(J11:L37)/'Sch TOU-PA Cust Fcst'!D40)-M41</f>
        <v>0</v>
      </c>
      <c r="Q45" s="280">
        <f>IF(SUM(N11:P37)=0,0,SUM(N11:P37)/'Sch TOU-PA Cust Fcst'!E40)-Q41</f>
        <v>0</v>
      </c>
      <c r="U45" s="280">
        <f>IF(SUM(R11:T37)=0,0,SUM(R11:T37)/'Sch TOU-PA Cust Fcst'!F40)-U41</f>
        <v>0</v>
      </c>
      <c r="Y45" s="280">
        <f>IF(SUM(V11:X37)=0,0,SUM(V11:X37)/'Sch TOU-PA Cust Fcst'!G40)-Y41</f>
        <v>0</v>
      </c>
      <c r="AC45" s="280">
        <f>IF(SUM(Z11:AB37)=0,0,SUM(Z11:AB37)/'Sch TOU-PA Cust Fcst'!H40)-AC41</f>
        <v>0</v>
      </c>
    </row>
    <row r="50" spans="1:1">
      <c r="A50" s="19"/>
    </row>
    <row r="62" spans="1:1">
      <c r="A62" s="19"/>
    </row>
  </sheetData>
  <mergeCells count="11">
    <mergeCell ref="Z3:AC3"/>
    <mergeCell ref="A1:Y1"/>
    <mergeCell ref="B2:U2"/>
    <mergeCell ref="V2:Y2"/>
    <mergeCell ref="Z2:AC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7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Sheet82">
    <tabColor rgb="FF0070C0"/>
    <pageSetUpPr fitToPage="1"/>
  </sheetPr>
  <dimension ref="A1:J56"/>
  <sheetViews>
    <sheetView topLeftCell="A14" zoomScaleNormal="100" workbookViewId="0">
      <selection activeCell="B31" sqref="B31:J31"/>
    </sheetView>
  </sheetViews>
  <sheetFormatPr defaultRowHeight="12.75"/>
  <cols>
    <col min="1" max="1" width="40.85546875" customWidth="1"/>
    <col min="2" max="2" width="10.28515625" customWidth="1"/>
    <col min="3" max="4" width="10.28515625" style="12" customWidth="1"/>
    <col min="5" max="5" width="10.85546875" style="12" customWidth="1"/>
    <col min="6" max="6" width="9.28515625" style="12" customWidth="1"/>
    <col min="7" max="7" width="10.28515625" style="12" customWidth="1"/>
    <col min="8" max="10" width="10.28515625" customWidth="1"/>
  </cols>
  <sheetData>
    <row r="1" spans="1:10" ht="18.75" thickBot="1">
      <c r="A1" s="741" t="s">
        <v>331</v>
      </c>
      <c r="B1" s="741"/>
      <c r="C1" s="741"/>
      <c r="D1" s="741"/>
      <c r="E1" s="741"/>
      <c r="F1" s="741"/>
      <c r="G1" s="741"/>
      <c r="H1" s="741"/>
      <c r="I1" s="741"/>
      <c r="J1" s="741"/>
    </row>
    <row r="2" spans="1:10" ht="13.5" thickBot="1">
      <c r="A2" s="348"/>
      <c r="B2" s="742" t="s">
        <v>0</v>
      </c>
      <c r="C2" s="743"/>
      <c r="D2" s="744"/>
      <c r="E2" s="743" t="s">
        <v>1</v>
      </c>
      <c r="F2" s="743"/>
      <c r="G2" s="744"/>
      <c r="H2" s="743" t="s">
        <v>332</v>
      </c>
      <c r="I2" s="743"/>
      <c r="J2" s="744"/>
    </row>
    <row r="3" spans="1:10" ht="13.5" thickBot="1">
      <c r="A3" s="486" t="s">
        <v>47</v>
      </c>
      <c r="B3" s="480" t="s">
        <v>193</v>
      </c>
      <c r="C3" s="481" t="s">
        <v>141</v>
      </c>
      <c r="D3" s="482" t="s">
        <v>135</v>
      </c>
      <c r="E3" s="481" t="s">
        <v>193</v>
      </c>
      <c r="F3" s="481" t="s">
        <v>141</v>
      </c>
      <c r="G3" s="482" t="s">
        <v>136</v>
      </c>
      <c r="H3" s="481" t="s">
        <v>193</v>
      </c>
      <c r="I3" s="481" t="s">
        <v>141</v>
      </c>
      <c r="J3" s="482" t="s">
        <v>2</v>
      </c>
    </row>
    <row r="4" spans="1:10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0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0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0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0">
      <c r="A8" s="36" t="s">
        <v>53</v>
      </c>
      <c r="B8" s="115">
        <f>'Sch TOU-PA TSM'!R40</f>
        <v>1633.7802047221999</v>
      </c>
      <c r="C8" s="134">
        <f>'Sch TOU-PA TSM'!R41</f>
        <v>14168.457286169785</v>
      </c>
      <c r="D8" s="40">
        <f>'Sch TOU-PA TSM'!R39</f>
        <v>5812.005898538061</v>
      </c>
      <c r="E8" s="115"/>
      <c r="F8" s="134"/>
      <c r="G8" s="44"/>
      <c r="H8" s="115">
        <f>'Sch TOU-PA TSM'!Z40</f>
        <v>1633.7802047221999</v>
      </c>
      <c r="I8" s="134">
        <f>'Sch TOU-PA TSM'!Z41</f>
        <v>14168.457286169785</v>
      </c>
      <c r="J8" s="44">
        <f>'Sch TOU-PA TSM'!Z39</f>
        <v>5812.005898538061</v>
      </c>
    </row>
    <row r="9" spans="1:10">
      <c r="A9" s="36" t="s">
        <v>51</v>
      </c>
      <c r="B9" s="115">
        <f>'Sch TOU-PA TSM'!S40</f>
        <v>664.05612210759307</v>
      </c>
      <c r="C9" s="134">
        <f>'Sch TOU-PA TSM'!S41</f>
        <v>3881.3806159244828</v>
      </c>
      <c r="D9" s="40">
        <f>'Sch TOU-PA TSM'!S39</f>
        <v>1736.4976200465562</v>
      </c>
      <c r="E9" s="115"/>
      <c r="F9" s="134"/>
      <c r="G9" s="44"/>
      <c r="H9" s="115">
        <f>'Sch TOU-PA TSM'!AA40</f>
        <v>664.05612210759307</v>
      </c>
      <c r="I9" s="134">
        <f>'Sch TOU-PA TSM'!AA41</f>
        <v>3881.3806159244828</v>
      </c>
      <c r="J9" s="44">
        <f>'Sch TOU-PA TSM'!AA39</f>
        <v>1736.4976200465562</v>
      </c>
    </row>
    <row r="10" spans="1:10">
      <c r="A10" s="36" t="s">
        <v>52</v>
      </c>
      <c r="B10" s="115">
        <f>'Sch TOU-PA TSM'!T40</f>
        <v>297.01685728884092</v>
      </c>
      <c r="C10" s="134">
        <f>'Sch TOU-PA TSM'!T41</f>
        <v>855.2930770275243</v>
      </c>
      <c r="D10" s="40">
        <f>'Sch TOU-PA TSM'!T39</f>
        <v>483.10893053506874</v>
      </c>
      <c r="E10" s="115"/>
      <c r="F10" s="134"/>
      <c r="G10" s="44"/>
      <c r="H10" s="115">
        <f>'Sch TOU-PA TSM'!AB40</f>
        <v>297.01685728884092</v>
      </c>
      <c r="I10" s="134">
        <f>'Sch TOU-PA TSM'!AB41</f>
        <v>855.2930770275243</v>
      </c>
      <c r="J10" s="44">
        <f>'Sch TOU-PA TSM'!AB39</f>
        <v>483.10893053506874</v>
      </c>
    </row>
    <row r="11" spans="1:10">
      <c r="A11" s="38"/>
      <c r="B11" s="114"/>
      <c r="C11" s="30"/>
      <c r="D11" s="40"/>
      <c r="E11" s="114"/>
      <c r="F11" s="30"/>
      <c r="G11" s="40"/>
      <c r="H11" s="114"/>
      <c r="I11" s="30"/>
      <c r="J11" s="40"/>
    </row>
    <row r="12" spans="1:10">
      <c r="A12" s="36" t="s">
        <v>35</v>
      </c>
      <c r="B12" s="114">
        <f t="shared" ref="B12:J12" si="0">SUM(B8:B10)</f>
        <v>2594.8531841186341</v>
      </c>
      <c r="C12" s="30">
        <f t="shared" si="0"/>
        <v>18905.13097912179</v>
      </c>
      <c r="D12" s="40">
        <f t="shared" si="0"/>
        <v>8031.6124491196861</v>
      </c>
      <c r="E12" s="114"/>
      <c r="F12" s="30"/>
      <c r="G12" s="40"/>
      <c r="H12" s="114">
        <f t="shared" si="0"/>
        <v>2594.8531841186341</v>
      </c>
      <c r="I12" s="30">
        <f t="shared" si="0"/>
        <v>18905.13097912179</v>
      </c>
      <c r="J12" s="40">
        <f t="shared" si="0"/>
        <v>8031.6124491196861</v>
      </c>
    </row>
    <row r="13" spans="1:10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0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0">
      <c r="A15" s="47">
        <f>Inputs!C3</f>
        <v>2.7723662892949787E-2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0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0">
      <c r="A17" s="47">
        <f>Inputs!C4</f>
        <v>1.5023E-2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0">
      <c r="A18" s="94" t="s">
        <v>97</v>
      </c>
      <c r="B18" s="114">
        <f t="shared" ref="B18:J20" si="1">(B8*(1+$A$15)*(1+$A$17))</f>
        <v>1704.2993137197352</v>
      </c>
      <c r="C18" s="30">
        <f t="shared" si="1"/>
        <v>14780.012610932839</v>
      </c>
      <c r="D18" s="40">
        <f t="shared" si="1"/>
        <v>6062.8704127907695</v>
      </c>
      <c r="E18" s="114"/>
      <c r="F18" s="30"/>
      <c r="G18" s="40"/>
      <c r="H18" s="114">
        <f t="shared" si="1"/>
        <v>1704.2993137197352</v>
      </c>
      <c r="I18" s="30">
        <f t="shared" si="1"/>
        <v>14780.012610932839</v>
      </c>
      <c r="J18" s="40">
        <f t="shared" si="1"/>
        <v>6062.8704127907695</v>
      </c>
    </row>
    <row r="19" spans="1:10">
      <c r="A19" s="94" t="s">
        <v>51</v>
      </c>
      <c r="B19" s="114">
        <f t="shared" si="1"/>
        <v>692.71887975396123</v>
      </c>
      <c r="C19" s="30">
        <f t="shared" si="1"/>
        <v>4048.9132509289821</v>
      </c>
      <c r="D19" s="40">
        <f t="shared" si="1"/>
        <v>1811.4503368123012</v>
      </c>
      <c r="E19" s="114"/>
      <c r="F19" s="30"/>
      <c r="G19" s="40"/>
      <c r="H19" s="114">
        <f t="shared" si="1"/>
        <v>692.71887975396123</v>
      </c>
      <c r="I19" s="30">
        <f t="shared" si="1"/>
        <v>4048.9132509289821</v>
      </c>
      <c r="J19" s="40">
        <f t="shared" si="1"/>
        <v>1811.4503368123012</v>
      </c>
    </row>
    <row r="20" spans="1:10">
      <c r="A20" s="94" t="s">
        <v>52</v>
      </c>
      <c r="B20" s="114">
        <f t="shared" si="1"/>
        <v>309.83704208035556</v>
      </c>
      <c r="C20" s="30">
        <f t="shared" si="1"/>
        <v>892.2102250927361</v>
      </c>
      <c r="D20" s="40">
        <f t="shared" si="1"/>
        <v>503.96143641781578</v>
      </c>
      <c r="E20" s="114"/>
      <c r="F20" s="30"/>
      <c r="G20" s="40"/>
      <c r="H20" s="114">
        <f t="shared" si="1"/>
        <v>309.83704208035556</v>
      </c>
      <c r="I20" s="30">
        <f t="shared" si="1"/>
        <v>892.2102250927361</v>
      </c>
      <c r="J20" s="40">
        <f t="shared" si="1"/>
        <v>503.96143641781578</v>
      </c>
    </row>
    <row r="21" spans="1:10">
      <c r="A21" s="36"/>
      <c r="B21" s="119"/>
      <c r="C21" s="73"/>
      <c r="D21" s="75"/>
      <c r="E21" s="119"/>
      <c r="F21" s="73"/>
      <c r="G21" s="75"/>
      <c r="H21" s="119"/>
      <c r="I21" s="73"/>
      <c r="J21" s="75"/>
    </row>
    <row r="22" spans="1:10">
      <c r="A22" s="36" t="s">
        <v>35</v>
      </c>
      <c r="B22" s="119">
        <f t="shared" ref="B22:J22" si="2">B18+B19+B20</f>
        <v>2706.8552355540523</v>
      </c>
      <c r="C22" s="73">
        <f t="shared" si="2"/>
        <v>19721.136086954557</v>
      </c>
      <c r="D22" s="75">
        <f t="shared" si="2"/>
        <v>8378.282186020886</v>
      </c>
      <c r="E22" s="119"/>
      <c r="F22" s="73"/>
      <c r="G22" s="75"/>
      <c r="H22" s="119">
        <f t="shared" si="2"/>
        <v>2706.8552355540523</v>
      </c>
      <c r="I22" s="73">
        <f t="shared" si="2"/>
        <v>19721.136086954557</v>
      </c>
      <c r="J22" s="75">
        <f t="shared" si="2"/>
        <v>8378.282186020886</v>
      </c>
    </row>
    <row r="23" spans="1:10">
      <c r="A23" s="36"/>
      <c r="B23" s="114"/>
      <c r="C23" s="30"/>
      <c r="D23" s="40"/>
      <c r="E23" s="114"/>
      <c r="F23" s="30"/>
      <c r="G23" s="40"/>
      <c r="H23" s="114"/>
      <c r="I23" s="30"/>
      <c r="J23" s="40"/>
    </row>
    <row r="24" spans="1:10">
      <c r="A24" s="94" t="str">
        <f>'Resid TSM Sum by Rate Schedule'!A25</f>
        <v>Annualized Transformer Cost at 8.05%</v>
      </c>
      <c r="B24" s="119">
        <f>B18*Inputs!$C$5</f>
        <v>137.15972932497672</v>
      </c>
      <c r="C24" s="73">
        <f>C18*Inputs!$C$5</f>
        <v>1189.4756471565761</v>
      </c>
      <c r="D24" s="75">
        <f>D18*Inputs!$C$5</f>
        <v>487.93170193550981</v>
      </c>
      <c r="E24" s="119"/>
      <c r="F24" s="73"/>
      <c r="G24" s="75"/>
      <c r="H24" s="119">
        <f>H18*Inputs!$C$5</f>
        <v>137.15972932497672</v>
      </c>
      <c r="I24" s="73">
        <f>I18*Inputs!$C$5</f>
        <v>1189.4756471565761</v>
      </c>
      <c r="J24" s="75">
        <f>J18*Inputs!$C$5</f>
        <v>487.93170193550981</v>
      </c>
    </row>
    <row r="25" spans="1:10">
      <c r="A25" s="94" t="str">
        <f>'Resid TSM Sum by Rate Schedule'!A26</f>
        <v>Annualized Services Cost at 7.08%</v>
      </c>
      <c r="B25" s="119">
        <f>B19*Inputs!$C$6</f>
        <v>49.027220237357895</v>
      </c>
      <c r="C25" s="73">
        <f>C19*Inputs!$C$6</f>
        <v>286.56207803338248</v>
      </c>
      <c r="D25" s="75">
        <f>D19*Inputs!$C$6</f>
        <v>128.20550616936606</v>
      </c>
      <c r="E25" s="119"/>
      <c r="F25" s="73"/>
      <c r="G25" s="75"/>
      <c r="H25" s="119">
        <f>H19*Inputs!$C$6</f>
        <v>49.027220237357895</v>
      </c>
      <c r="I25" s="73">
        <f>I19*Inputs!$C$6</f>
        <v>286.56207803338248</v>
      </c>
      <c r="J25" s="75">
        <f>J19*Inputs!$C$6</f>
        <v>128.20550616936606</v>
      </c>
    </row>
    <row r="26" spans="1:10" ht="15">
      <c r="A26" s="94" t="str">
        <f>'Resid TSM Sum by Rate Schedule'!A27</f>
        <v>Annualized Meter Cost at 10.78%</v>
      </c>
      <c r="B26" s="465">
        <f>B20*Inputs!$C$7</f>
        <v>33.390037901018957</v>
      </c>
      <c r="C26" s="464">
        <f>C20*Inputs!$C$7</f>
        <v>96.150328028876871</v>
      </c>
      <c r="D26" s="463">
        <f>D20*Inputs!$C$7</f>
        <v>54.310134610304935</v>
      </c>
      <c r="E26" s="465"/>
      <c r="F26" s="464"/>
      <c r="G26" s="463"/>
      <c r="H26" s="465">
        <f>H20*Inputs!$C$7</f>
        <v>33.390037901018957</v>
      </c>
      <c r="I26" s="464">
        <f>I20*Inputs!$C$7</f>
        <v>96.150328028876871</v>
      </c>
      <c r="J26" s="463">
        <f>J20*Inputs!$C$7</f>
        <v>54.310134610304935</v>
      </c>
    </row>
    <row r="27" spans="1:10">
      <c r="A27" s="86" t="s">
        <v>312</v>
      </c>
      <c r="B27" s="119">
        <f>SUM(B24:B26)</f>
        <v>219.57698746335359</v>
      </c>
      <c r="C27" s="73">
        <f t="shared" ref="C27:J27" si="3">SUM(C24:C26)</f>
        <v>1572.1880532188354</v>
      </c>
      <c r="D27" s="75">
        <f t="shared" si="3"/>
        <v>670.44734271518075</v>
      </c>
      <c r="E27" s="119"/>
      <c r="F27" s="73"/>
      <c r="G27" s="75"/>
      <c r="H27" s="119">
        <f t="shared" si="3"/>
        <v>219.57698746335359</v>
      </c>
      <c r="I27" s="73">
        <f t="shared" si="3"/>
        <v>1572.1880532188354</v>
      </c>
      <c r="J27" s="75">
        <f t="shared" si="3"/>
        <v>670.44734271518075</v>
      </c>
    </row>
    <row r="28" spans="1:10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0">
      <c r="A29" s="36" t="s">
        <v>50</v>
      </c>
      <c r="B29" s="119">
        <f>'Distribution O&amp;M Allocations'!$AD$20</f>
        <v>269.67252291851912</v>
      </c>
      <c r="C29" s="73">
        <f>'Distribution O&amp;M Allocations'!$AD$20</f>
        <v>269.67252291851912</v>
      </c>
      <c r="D29" s="73">
        <f>'Distribution O&amp;M Allocations'!$AD$20</f>
        <v>269.67252291851912</v>
      </c>
      <c r="E29" s="119"/>
      <c r="F29" s="73"/>
      <c r="G29" s="75"/>
      <c r="H29" s="119">
        <f>B29</f>
        <v>269.67252291851912</v>
      </c>
      <c r="I29" s="73">
        <f t="shared" ref="I29:J29" si="4">C29</f>
        <v>269.67252291851912</v>
      </c>
      <c r="J29" s="75">
        <f t="shared" si="4"/>
        <v>269.67252291851912</v>
      </c>
    </row>
    <row r="30" spans="1:10">
      <c r="A30" s="11"/>
      <c r="B30" s="10"/>
      <c r="C30" s="27"/>
      <c r="D30" s="81"/>
      <c r="E30" s="10"/>
      <c r="F30" s="27"/>
      <c r="G30" s="81"/>
      <c r="H30" s="119"/>
      <c r="I30" s="73"/>
      <c r="J30" s="75"/>
    </row>
    <row r="31" spans="1:10">
      <c r="A31" s="36" t="s">
        <v>57</v>
      </c>
      <c r="B31" s="723">
        <v>148.85601320389145</v>
      </c>
      <c r="C31" s="724">
        <v>148.85601320389145</v>
      </c>
      <c r="D31" s="724">
        <v>148.85601320389145</v>
      </c>
      <c r="E31" s="723"/>
      <c r="F31" s="724"/>
      <c r="G31" s="726"/>
      <c r="H31" s="727">
        <v>148.85601320389145</v>
      </c>
      <c r="I31" s="728">
        <v>148.85601320389145</v>
      </c>
      <c r="J31" s="410">
        <v>148.85601320389145</v>
      </c>
    </row>
    <row r="32" spans="1:10" ht="13.5" thickBot="1">
      <c r="A32" s="11"/>
      <c r="B32" s="116"/>
      <c r="C32" s="87"/>
      <c r="D32" s="88"/>
      <c r="E32" s="116"/>
      <c r="F32" s="87"/>
      <c r="G32" s="88"/>
      <c r="H32" s="116"/>
      <c r="I32" s="87"/>
      <c r="J32" s="88"/>
    </row>
    <row r="33" spans="1:10" ht="13.5" thickBot="1">
      <c r="A33" s="281" t="s">
        <v>133</v>
      </c>
      <c r="B33" s="282">
        <f t="shared" ref="B33:J33" si="5">B27+B29+B31</f>
        <v>638.1055235857641</v>
      </c>
      <c r="C33" s="283">
        <f t="shared" si="5"/>
        <v>1990.7165893412462</v>
      </c>
      <c r="D33" s="294">
        <f t="shared" si="5"/>
        <v>1088.9758788375914</v>
      </c>
      <c r="E33" s="283"/>
      <c r="F33" s="283"/>
      <c r="G33" s="283"/>
      <c r="H33" s="282">
        <f t="shared" si="5"/>
        <v>638.1055235857641</v>
      </c>
      <c r="I33" s="283">
        <f t="shared" si="5"/>
        <v>1990.7165893412462</v>
      </c>
      <c r="J33" s="294">
        <f t="shared" si="5"/>
        <v>1088.9758788375914</v>
      </c>
    </row>
    <row r="34" spans="1:10">
      <c r="B34" s="18"/>
      <c r="C34" s="13"/>
      <c r="D34" s="13"/>
      <c r="E34" s="13"/>
      <c r="F34" s="13"/>
      <c r="G34" s="13"/>
    </row>
    <row r="36" spans="1:10">
      <c r="A36" t="s">
        <v>3</v>
      </c>
    </row>
    <row r="44" spans="1:10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Sheet83">
    <tabColor rgb="FF0070C0"/>
    <pageSetUpPr fitToPage="1"/>
  </sheetPr>
  <dimension ref="A1:J58"/>
  <sheetViews>
    <sheetView topLeftCell="A15" zoomScaleNormal="100" workbookViewId="0">
      <selection activeCell="B33" sqref="B33"/>
    </sheetView>
  </sheetViews>
  <sheetFormatPr defaultRowHeight="12.75"/>
  <cols>
    <col min="1" max="1" width="40.7109375" customWidth="1"/>
    <col min="2" max="2" width="10.28515625" customWidth="1"/>
    <col min="3" max="4" width="10.28515625" style="12" customWidth="1"/>
    <col min="5" max="6" width="9.28515625" style="12" customWidth="1"/>
    <col min="7" max="7" width="10.28515625" style="12" customWidth="1"/>
    <col min="8" max="10" width="10.28515625" customWidth="1"/>
  </cols>
  <sheetData>
    <row r="1" spans="1:10" ht="18.75" thickBot="1">
      <c r="A1" s="741" t="s">
        <v>333</v>
      </c>
      <c r="B1" s="741"/>
      <c r="C1" s="741"/>
      <c r="D1" s="741"/>
      <c r="E1" s="741"/>
      <c r="F1" s="741"/>
      <c r="G1" s="741"/>
      <c r="H1" s="741"/>
      <c r="I1" s="741"/>
      <c r="J1" s="741"/>
    </row>
    <row r="2" spans="1:10" ht="13.5" thickBot="1">
      <c r="A2" s="348"/>
      <c r="B2" s="742" t="s">
        <v>0</v>
      </c>
      <c r="C2" s="743"/>
      <c r="D2" s="744"/>
      <c r="E2" s="743" t="s">
        <v>1</v>
      </c>
      <c r="F2" s="743"/>
      <c r="G2" s="744"/>
      <c r="H2" s="743" t="s">
        <v>332</v>
      </c>
      <c r="I2" s="743"/>
      <c r="J2" s="744"/>
    </row>
    <row r="3" spans="1:10" ht="13.5" thickBot="1">
      <c r="A3" s="486" t="s">
        <v>47</v>
      </c>
      <c r="B3" s="480" t="s">
        <v>193</v>
      </c>
      <c r="C3" s="481" t="s">
        <v>141</v>
      </c>
      <c r="D3" s="482" t="s">
        <v>135</v>
      </c>
      <c r="E3" s="481" t="s">
        <v>193</v>
      </c>
      <c r="F3" s="481" t="s">
        <v>141</v>
      </c>
      <c r="G3" s="482" t="s">
        <v>136</v>
      </c>
      <c r="H3" s="481" t="s">
        <v>193</v>
      </c>
      <c r="I3" s="481" t="s">
        <v>141</v>
      </c>
      <c r="J3" s="482" t="s">
        <v>2</v>
      </c>
    </row>
    <row r="4" spans="1:10">
      <c r="A4" s="35"/>
      <c r="B4" s="5"/>
      <c r="C4" s="6"/>
      <c r="D4" s="7"/>
      <c r="E4" s="6"/>
      <c r="F4" s="6"/>
      <c r="G4" s="6"/>
      <c r="H4" s="5"/>
      <c r="I4" s="6"/>
      <c r="J4" s="7"/>
    </row>
    <row r="5" spans="1:10">
      <c r="A5" s="36"/>
      <c r="B5" s="104"/>
      <c r="C5" s="8"/>
      <c r="D5" s="9"/>
      <c r="E5" s="8"/>
      <c r="F5" s="8"/>
      <c r="G5" s="8"/>
      <c r="H5" s="104"/>
      <c r="I5" s="8"/>
      <c r="J5" s="9"/>
    </row>
    <row r="6" spans="1:10">
      <c r="A6" s="36" t="s">
        <v>49</v>
      </c>
      <c r="B6" s="114"/>
      <c r="C6" s="30"/>
      <c r="D6" s="40"/>
      <c r="E6" s="30"/>
      <c r="F6" s="30"/>
      <c r="G6" s="30"/>
      <c r="H6" s="114"/>
      <c r="I6" s="30"/>
      <c r="J6" s="40"/>
    </row>
    <row r="7" spans="1:10">
      <c r="A7" s="37"/>
      <c r="B7" s="114"/>
      <c r="C7" s="30"/>
      <c r="D7" s="40"/>
      <c r="E7" s="30"/>
      <c r="F7" s="30"/>
      <c r="G7" s="30"/>
      <c r="H7" s="114"/>
      <c r="I7" s="30"/>
      <c r="J7" s="40"/>
    </row>
    <row r="8" spans="1:10">
      <c r="A8" s="36" t="s">
        <v>53</v>
      </c>
      <c r="B8" s="115">
        <f>'Sch TOU-PA TSM Summary'!B8*Inputs!$C$12</f>
        <v>1772.8868910248852</v>
      </c>
      <c r="C8" s="134">
        <f>'Sch TOU-PA TSM Summary'!C8*Inputs!$C$12</f>
        <v>15374.817320036975</v>
      </c>
      <c r="D8" s="44">
        <f>'Sch TOU-PA TSM Summary'!D8*Inputs!$C$12</f>
        <v>6306.8637006955814</v>
      </c>
      <c r="E8" s="134"/>
      <c r="F8" s="134"/>
      <c r="G8" s="134"/>
      <c r="H8" s="115">
        <f>'Sch TOU-PA TSM Summary'!H8*Inputs!$C$12</f>
        <v>1772.8868910248852</v>
      </c>
      <c r="I8" s="134">
        <f>'Sch TOU-PA TSM Summary'!I8*Inputs!$C$12</f>
        <v>15374.817320036975</v>
      </c>
      <c r="J8" s="44">
        <f>'Sch TOU-PA TSM Summary'!J8*Inputs!$C$12</f>
        <v>6306.8637006955814</v>
      </c>
    </row>
    <row r="9" spans="1:10">
      <c r="A9" s="36" t="s">
        <v>51</v>
      </c>
      <c r="B9" s="115">
        <f>'Sch TOU-PA TSM Summary'!B9*Inputs!$C$12</f>
        <v>720.5965590638026</v>
      </c>
      <c r="C9" s="134">
        <f>'Sch TOU-PA TSM Summary'!C9*Inputs!$C$12</f>
        <v>4211.8571354710866</v>
      </c>
      <c r="D9" s="44">
        <f>'Sch TOU-PA TSM Summary'!D9*Inputs!$C$12</f>
        <v>1884.3500845328972</v>
      </c>
      <c r="E9" s="134"/>
      <c r="F9" s="134"/>
      <c r="G9" s="134"/>
      <c r="H9" s="115">
        <f>'Sch TOU-PA TSM Summary'!H9*Inputs!$C$12</f>
        <v>720.5965590638026</v>
      </c>
      <c r="I9" s="134">
        <f>'Sch TOU-PA TSM Summary'!I9*Inputs!$C$12</f>
        <v>4211.8571354710866</v>
      </c>
      <c r="J9" s="44">
        <f>'Sch TOU-PA TSM Summary'!J9*Inputs!$C$12</f>
        <v>1884.3500845328972</v>
      </c>
    </row>
    <row r="10" spans="1:10">
      <c r="A10" s="36" t="s">
        <v>52</v>
      </c>
      <c r="B10" s="115">
        <f>'Sch TOU-PA TSM Summary'!B10*Inputs!$C$12</f>
        <v>322.30607959308202</v>
      </c>
      <c r="C10" s="134">
        <f>'Sch TOU-PA TSM Summary'!C10*Inputs!$C$12</f>
        <v>928.11620551141766</v>
      </c>
      <c r="D10" s="44">
        <f>'Sch TOU-PA TSM Summary'!D10*Inputs!$C$12</f>
        <v>524.24278823252723</v>
      </c>
      <c r="E10" s="134"/>
      <c r="F10" s="134"/>
      <c r="G10" s="134"/>
      <c r="H10" s="115">
        <f>'Sch TOU-PA TSM Summary'!H10*Inputs!$C$12</f>
        <v>322.30607959308202</v>
      </c>
      <c r="I10" s="134">
        <f>'Sch TOU-PA TSM Summary'!I10*Inputs!$C$12</f>
        <v>928.11620551141766</v>
      </c>
      <c r="J10" s="44">
        <f>'Sch TOU-PA TSM Summary'!J10*Inputs!$C$12</f>
        <v>524.24278823252723</v>
      </c>
    </row>
    <row r="11" spans="1:10">
      <c r="A11" s="38"/>
      <c r="B11" s="114"/>
      <c r="C11" s="30"/>
      <c r="D11" s="40"/>
      <c r="E11" s="30"/>
      <c r="F11" s="30"/>
      <c r="G11" s="30"/>
      <c r="H11" s="114"/>
      <c r="I11" s="30"/>
      <c r="J11" s="40"/>
    </row>
    <row r="12" spans="1:10">
      <c r="A12" s="36" t="s">
        <v>35</v>
      </c>
      <c r="B12" s="114">
        <f t="shared" ref="B12:J12" si="0">SUM(B8:B10)</f>
        <v>2815.7895296817696</v>
      </c>
      <c r="C12" s="30">
        <f t="shared" si="0"/>
        <v>20514.79066101948</v>
      </c>
      <c r="D12" s="40">
        <f t="shared" si="0"/>
        <v>8715.456573461006</v>
      </c>
      <c r="E12" s="30"/>
      <c r="F12" s="30"/>
      <c r="G12" s="30"/>
      <c r="H12" s="114">
        <f t="shared" si="0"/>
        <v>2815.7895296817696</v>
      </c>
      <c r="I12" s="30">
        <f t="shared" si="0"/>
        <v>20514.79066101948</v>
      </c>
      <c r="J12" s="40">
        <f t="shared" si="0"/>
        <v>8715.456573461006</v>
      </c>
    </row>
    <row r="13" spans="1:10">
      <c r="A13" s="38"/>
      <c r="B13" s="114"/>
      <c r="C13" s="30"/>
      <c r="D13" s="40"/>
      <c r="E13" s="30"/>
      <c r="F13" s="30"/>
      <c r="G13" s="30"/>
      <c r="H13" s="114"/>
      <c r="I13" s="30"/>
      <c r="J13" s="40"/>
    </row>
    <row r="14" spans="1:10">
      <c r="A14" s="36" t="s">
        <v>61</v>
      </c>
      <c r="B14" s="114"/>
      <c r="C14" s="30"/>
      <c r="D14" s="40"/>
      <c r="E14" s="30"/>
      <c r="F14" s="30"/>
      <c r="G14" s="30"/>
      <c r="H14" s="114"/>
      <c r="I14" s="30"/>
      <c r="J14" s="40"/>
    </row>
    <row r="15" spans="1:10">
      <c r="A15" s="47">
        <f>Inputs!C3</f>
        <v>2.7723662892949787E-2</v>
      </c>
      <c r="B15" s="114"/>
      <c r="C15" s="30"/>
      <c r="D15" s="40"/>
      <c r="E15" s="30"/>
      <c r="F15" s="30"/>
      <c r="G15" s="30"/>
      <c r="H15" s="114"/>
      <c r="I15" s="30"/>
      <c r="J15" s="40"/>
    </row>
    <row r="16" spans="1:10">
      <c r="A16" s="36" t="s">
        <v>60</v>
      </c>
      <c r="B16" s="114"/>
      <c r="C16" s="30"/>
      <c r="D16" s="40"/>
      <c r="E16" s="30"/>
      <c r="F16" s="30"/>
      <c r="G16" s="30"/>
      <c r="H16" s="114"/>
      <c r="I16" s="30"/>
      <c r="J16" s="40"/>
    </row>
    <row r="17" spans="1:10">
      <c r="A17" s="47">
        <f>Inputs!C4</f>
        <v>1.5023E-2</v>
      </c>
      <c r="B17" s="114"/>
      <c r="C17" s="30"/>
      <c r="D17" s="40"/>
      <c r="E17" s="30"/>
      <c r="F17" s="30"/>
      <c r="G17" s="30"/>
      <c r="H17" s="114"/>
      <c r="I17" s="30"/>
      <c r="J17" s="40"/>
    </row>
    <row r="18" spans="1:10">
      <c r="A18" s="94" t="s">
        <v>97</v>
      </c>
      <c r="B18" s="114">
        <f t="shared" ref="B18:J20" si="1">(B8*(1+$A$15)*(1+$A$17))</f>
        <v>1849.4102835516933</v>
      </c>
      <c r="C18" s="30">
        <f t="shared" si="1"/>
        <v>16038.442950507408</v>
      </c>
      <c r="D18" s="30">
        <f t="shared" si="1"/>
        <v>6579.0878392035975</v>
      </c>
      <c r="E18" s="114"/>
      <c r="F18" s="30"/>
      <c r="G18" s="40"/>
      <c r="H18" s="114">
        <f t="shared" si="1"/>
        <v>1849.4102835516933</v>
      </c>
      <c r="I18" s="30">
        <f t="shared" si="1"/>
        <v>16038.442950507408</v>
      </c>
      <c r="J18" s="40">
        <f t="shared" si="1"/>
        <v>6579.0878392035975</v>
      </c>
    </row>
    <row r="19" spans="1:10">
      <c r="A19" s="94" t="s">
        <v>51</v>
      </c>
      <c r="B19" s="114">
        <f t="shared" si="1"/>
        <v>751.69978038145211</v>
      </c>
      <c r="C19" s="30">
        <f t="shared" si="1"/>
        <v>4393.6541798714597</v>
      </c>
      <c r="D19" s="30">
        <f t="shared" si="1"/>
        <v>1965.6845802114547</v>
      </c>
      <c r="E19" s="114"/>
      <c r="F19" s="30"/>
      <c r="G19" s="40"/>
      <c r="H19" s="114">
        <f t="shared" si="1"/>
        <v>751.69978038145211</v>
      </c>
      <c r="I19" s="30">
        <f t="shared" si="1"/>
        <v>4393.6541798714597</v>
      </c>
      <c r="J19" s="40">
        <f t="shared" si="1"/>
        <v>1965.6845802114547</v>
      </c>
    </row>
    <row r="20" spans="1:10">
      <c r="A20" s="94" t="s">
        <v>52</v>
      </c>
      <c r="B20" s="114">
        <f t="shared" si="1"/>
        <v>336.21782701889788</v>
      </c>
      <c r="C20" s="30">
        <f t="shared" si="1"/>
        <v>968.17662959396273</v>
      </c>
      <c r="D20" s="30">
        <f t="shared" si="1"/>
        <v>546.87076121058612</v>
      </c>
      <c r="E20" s="114"/>
      <c r="F20" s="30"/>
      <c r="G20" s="40"/>
      <c r="H20" s="114">
        <f t="shared" si="1"/>
        <v>336.21782701889788</v>
      </c>
      <c r="I20" s="30">
        <f t="shared" si="1"/>
        <v>968.17662959396273</v>
      </c>
      <c r="J20" s="40">
        <f t="shared" si="1"/>
        <v>546.87076121058612</v>
      </c>
    </row>
    <row r="21" spans="1:10">
      <c r="A21" s="36"/>
      <c r="B21" s="119"/>
      <c r="C21" s="73"/>
      <c r="D21" s="75"/>
      <c r="E21" s="73"/>
      <c r="F21" s="73"/>
      <c r="G21" s="73"/>
      <c r="H21" s="119"/>
      <c r="I21" s="73"/>
      <c r="J21" s="75"/>
    </row>
    <row r="22" spans="1:10">
      <c r="A22" s="36" t="s">
        <v>35</v>
      </c>
      <c r="B22" s="119">
        <f t="shared" ref="B22:J22" si="2">B18+B19+B20</f>
        <v>2937.3278909520432</v>
      </c>
      <c r="C22" s="73">
        <f t="shared" si="2"/>
        <v>21400.273759972832</v>
      </c>
      <c r="D22" s="75">
        <f t="shared" si="2"/>
        <v>9091.6431806256387</v>
      </c>
      <c r="E22" s="73"/>
      <c r="F22" s="73"/>
      <c r="G22" s="73"/>
      <c r="H22" s="119">
        <f t="shared" si="2"/>
        <v>2937.3278909520432</v>
      </c>
      <c r="I22" s="73">
        <f t="shared" si="2"/>
        <v>21400.273759972832</v>
      </c>
      <c r="J22" s="75">
        <f t="shared" si="2"/>
        <v>9091.6431806256387</v>
      </c>
    </row>
    <row r="23" spans="1:10">
      <c r="A23" s="36"/>
      <c r="B23" s="114"/>
      <c r="C23" s="30"/>
      <c r="D23" s="40"/>
      <c r="E23" s="30"/>
      <c r="F23" s="30"/>
      <c r="G23" s="30"/>
      <c r="H23" s="114"/>
      <c r="I23" s="30"/>
      <c r="J23" s="40"/>
    </row>
    <row r="24" spans="1:10">
      <c r="A24" s="384" t="str">
        <f>'Resid TSM Sum by Rate Schedule'!A25</f>
        <v>Annualized Transformer Cost at 8.05%</v>
      </c>
      <c r="B24" s="119">
        <f>B18*Inputs!$C$5</f>
        <v>148.83806609599606</v>
      </c>
      <c r="C24" s="73">
        <f>C18*Inputs!$C$5</f>
        <v>1290.7524377771529</v>
      </c>
      <c r="D24" s="75">
        <f>D18*Inputs!$C$5</f>
        <v>529.47618998971495</v>
      </c>
      <c r="E24" s="73"/>
      <c r="F24" s="73"/>
      <c r="G24" s="73"/>
      <c r="H24" s="119">
        <f>H18*Inputs!$C$5</f>
        <v>148.83806609599606</v>
      </c>
      <c r="I24" s="73">
        <f>I18*Inputs!$C$5</f>
        <v>1290.7524377771529</v>
      </c>
      <c r="J24" s="75">
        <f>J18*Inputs!$C$5</f>
        <v>529.47618998971495</v>
      </c>
    </row>
    <row r="25" spans="1:10">
      <c r="A25" s="384" t="str">
        <f>'Resid TSM Sum by Rate Schedule'!A26</f>
        <v>Annualized Services Cost at 7.08%</v>
      </c>
      <c r="B25" s="119">
        <f>B19*Inputs!$C$6</f>
        <v>53.201597014686058</v>
      </c>
      <c r="C25" s="73">
        <f>C19*Inputs!$C$6</f>
        <v>310.96113794365561</v>
      </c>
      <c r="D25" s="75">
        <f>D19*Inputs!$C$6</f>
        <v>139.12144399100924</v>
      </c>
      <c r="E25" s="73"/>
      <c r="F25" s="73"/>
      <c r="G25" s="73"/>
      <c r="H25" s="119">
        <f>H19*Inputs!$C$6</f>
        <v>53.201597014686058</v>
      </c>
      <c r="I25" s="73">
        <f>I19*Inputs!$C$6</f>
        <v>310.96113794365561</v>
      </c>
      <c r="J25" s="75">
        <f>J19*Inputs!$C$6</f>
        <v>139.12144399100924</v>
      </c>
    </row>
    <row r="26" spans="1:10" ht="15">
      <c r="A26" s="384" t="str">
        <f>'Resid TSM Sum by Rate Schedule'!A27</f>
        <v>Annualized Meter Cost at 10.78%</v>
      </c>
      <c r="B26" s="465">
        <f>B20*Inputs!$C$7</f>
        <v>36.23300142481903</v>
      </c>
      <c r="C26" s="464">
        <f>C20*Inputs!$C$7</f>
        <v>104.3369577115933</v>
      </c>
      <c r="D26" s="463">
        <f>D20*Inputs!$C$7</f>
        <v>58.934320187077113</v>
      </c>
      <c r="E26" s="464"/>
      <c r="F26" s="464"/>
      <c r="G26" s="464"/>
      <c r="H26" s="465">
        <f>H20*Inputs!$C$7</f>
        <v>36.23300142481903</v>
      </c>
      <c r="I26" s="464">
        <f>I20*Inputs!$C$7</f>
        <v>104.3369577115933</v>
      </c>
      <c r="J26" s="463">
        <f>J20*Inputs!$C$7</f>
        <v>58.934320187077113</v>
      </c>
    </row>
    <row r="27" spans="1:10">
      <c r="A27" s="86" t="s">
        <v>312</v>
      </c>
      <c r="B27" s="119">
        <f>SUM(B24:B26)</f>
        <v>238.27266453550115</v>
      </c>
      <c r="C27" s="73">
        <f t="shared" ref="C27:J27" si="3">SUM(C24:C26)</f>
        <v>1706.0505334324016</v>
      </c>
      <c r="D27" s="75">
        <f t="shared" si="3"/>
        <v>727.53195416780125</v>
      </c>
      <c r="E27" s="73"/>
      <c r="F27" s="73"/>
      <c r="G27" s="73"/>
      <c r="H27" s="119">
        <f t="shared" si="3"/>
        <v>238.27266453550115</v>
      </c>
      <c r="I27" s="73">
        <f t="shared" si="3"/>
        <v>1706.0505334324016</v>
      </c>
      <c r="J27" s="75">
        <f t="shared" si="3"/>
        <v>727.53195416780125</v>
      </c>
    </row>
    <row r="28" spans="1:10">
      <c r="A28" s="47"/>
      <c r="B28" s="114"/>
      <c r="C28" s="30"/>
      <c r="D28" s="40"/>
      <c r="E28" s="30"/>
      <c r="F28" s="30"/>
      <c r="G28" s="30"/>
      <c r="H28" s="114"/>
      <c r="I28" s="30"/>
      <c r="J28" s="40"/>
    </row>
    <row r="29" spans="1:10">
      <c r="A29" s="36" t="s">
        <v>50</v>
      </c>
      <c r="B29" s="114">
        <f>'Sch TOU-PA TSM Summary'!B$29*Inputs!$C$13</f>
        <v>284.11287536966398</v>
      </c>
      <c r="C29" s="30">
        <f>'Sch TOU-PA TSM Summary'!C$29*Inputs!$C$13</f>
        <v>284.11287536966398</v>
      </c>
      <c r="D29" s="40">
        <f>'Sch TOU-PA TSM Summary'!D$29*Inputs!$C$13</f>
        <v>284.11287536966398</v>
      </c>
      <c r="E29" s="30"/>
      <c r="F29" s="30"/>
      <c r="G29" s="30"/>
      <c r="H29" s="114">
        <f>'Sch TOU-PA TSM Summary'!H$29*Inputs!$C$13</f>
        <v>284.11287536966398</v>
      </c>
      <c r="I29" s="30">
        <f>'Sch TOU-PA TSM Summary'!I$29*Inputs!$C$13</f>
        <v>284.11287536966398</v>
      </c>
      <c r="J29" s="40">
        <f>'Sch TOU-PA TSM Summary'!J$29*Inputs!$C$13</f>
        <v>284.11287536966398</v>
      </c>
    </row>
    <row r="30" spans="1:10" ht="15">
      <c r="A30" s="36" t="s">
        <v>379</v>
      </c>
      <c r="B30" s="552">
        <f>-Inputs!$C$18</f>
        <v>-3.0284021924274875</v>
      </c>
      <c r="C30" s="551">
        <f>-Inputs!$C$18</f>
        <v>-3.0284021924274875</v>
      </c>
      <c r="D30" s="553">
        <f>-Inputs!$C$18</f>
        <v>-3.0284021924274875</v>
      </c>
      <c r="E30" s="30"/>
      <c r="F30" s="551"/>
      <c r="G30" s="551"/>
      <c r="H30" s="552">
        <f>-Inputs!$C$18</f>
        <v>-3.0284021924274875</v>
      </c>
      <c r="I30" s="551">
        <f>-Inputs!$C$18</f>
        <v>-3.0284021924274875</v>
      </c>
      <c r="J30" s="553">
        <f>-Inputs!$C$18</f>
        <v>-3.0284021924274875</v>
      </c>
    </row>
    <row r="31" spans="1:10">
      <c r="A31" s="36" t="s">
        <v>377</v>
      </c>
      <c r="B31" s="114">
        <f>B29+B30</f>
        <v>281.08447317723648</v>
      </c>
      <c r="C31" s="30">
        <f t="shared" ref="C31:D31" si="4">C29+C30</f>
        <v>281.08447317723648</v>
      </c>
      <c r="D31" s="40">
        <f t="shared" si="4"/>
        <v>281.08447317723648</v>
      </c>
      <c r="E31" s="30"/>
      <c r="F31" s="30"/>
      <c r="G31" s="30"/>
      <c r="H31" s="114">
        <f t="shared" ref="H31:I31" si="5">H29+H30</f>
        <v>281.08447317723648</v>
      </c>
      <c r="I31" s="30">
        <f t="shared" si="5"/>
        <v>281.08447317723648</v>
      </c>
      <c r="J31" s="40">
        <f t="shared" ref="J31" si="6">J29+J30</f>
        <v>281.08447317723648</v>
      </c>
    </row>
    <row r="32" spans="1:10">
      <c r="A32" s="11"/>
      <c r="B32" s="10"/>
      <c r="C32" s="27"/>
      <c r="D32" s="81"/>
      <c r="E32" s="27"/>
      <c r="F32" s="27"/>
      <c r="G32" s="27"/>
      <c r="H32" s="10"/>
      <c r="I32" s="27"/>
      <c r="J32" s="81"/>
    </row>
    <row r="33" spans="1:10">
      <c r="A33" s="36" t="s">
        <v>57</v>
      </c>
      <c r="B33" s="164">
        <f>'Sch TOU-PA TSM Summary'!B31*Inputs!$C$14</f>
        <v>160.05279683391606</v>
      </c>
      <c r="C33" s="165">
        <f>'Sch TOU-PA TSM Summary'!C31*Inputs!$C$14</f>
        <v>160.05279683391606</v>
      </c>
      <c r="D33" s="293">
        <f>'Sch TOU-PA TSM Summary'!D31*Inputs!$C$14</f>
        <v>160.05279683391606</v>
      </c>
      <c r="E33" s="165"/>
      <c r="F33" s="165"/>
      <c r="G33" s="165"/>
      <c r="H33" s="164">
        <f>'Sch TOU-PA TSM Summary'!H31*Inputs!$C$14</f>
        <v>160.05279683391606</v>
      </c>
      <c r="I33" s="165">
        <f>'Sch TOU-PA TSM Summary'!I31*Inputs!$C$14</f>
        <v>160.05279683391606</v>
      </c>
      <c r="J33" s="293">
        <f>'Sch TOU-PA TSM Summary'!J31*Inputs!$C$14</f>
        <v>160.05279683391606</v>
      </c>
    </row>
    <row r="34" spans="1:10" ht="13.5" thickBot="1">
      <c r="A34" s="11"/>
      <c r="B34" s="116"/>
      <c r="C34" s="87"/>
      <c r="D34" s="88"/>
      <c r="E34" s="87"/>
      <c r="F34" s="87"/>
      <c r="G34" s="87"/>
      <c r="H34" s="116"/>
      <c r="I34" s="87"/>
      <c r="J34" s="88"/>
    </row>
    <row r="35" spans="1:10" ht="13.5" thickBot="1">
      <c r="A35" s="281" t="s">
        <v>133</v>
      </c>
      <c r="B35" s="282">
        <f t="shared" ref="B35:J35" si="7">B27+B31+B33</f>
        <v>679.40993454665374</v>
      </c>
      <c r="C35" s="283">
        <f t="shared" si="7"/>
        <v>2147.187803443554</v>
      </c>
      <c r="D35" s="294">
        <f t="shared" si="7"/>
        <v>1168.6692241789538</v>
      </c>
      <c r="E35" s="282"/>
      <c r="F35" s="283"/>
      <c r="G35" s="283"/>
      <c r="H35" s="282">
        <f t="shared" si="7"/>
        <v>679.40993454665374</v>
      </c>
      <c r="I35" s="283">
        <f t="shared" si="7"/>
        <v>2147.187803443554</v>
      </c>
      <c r="J35" s="294">
        <f t="shared" si="7"/>
        <v>1168.6692241789538</v>
      </c>
    </row>
    <row r="36" spans="1:10">
      <c r="B36" s="18"/>
      <c r="C36" s="13"/>
      <c r="D36" s="13"/>
      <c r="E36" s="13"/>
      <c r="F36" s="13"/>
      <c r="G36" s="13"/>
    </row>
    <row r="38" spans="1:10">
      <c r="A38" t="s">
        <v>3</v>
      </c>
    </row>
    <row r="46" spans="1:10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Sheet63">
    <tabColor theme="9" tint="-0.499984740745262"/>
    <pageSetUpPr fitToPage="1"/>
  </sheetPr>
  <dimension ref="A1:F66"/>
  <sheetViews>
    <sheetView topLeftCell="A16" zoomScaleNormal="100" workbookViewId="0">
      <selection activeCell="B29" sqref="B29"/>
    </sheetView>
  </sheetViews>
  <sheetFormatPr defaultRowHeight="12.75"/>
  <cols>
    <col min="1" max="1" width="42.7109375" customWidth="1"/>
    <col min="2" max="2" width="35.5703125" customWidth="1"/>
    <col min="5" max="5" width="12.28515625" bestFit="1" customWidth="1"/>
  </cols>
  <sheetData>
    <row r="1" spans="1:4" ht="18.75" thickBot="1">
      <c r="A1" s="756" t="s">
        <v>360</v>
      </c>
      <c r="B1" s="756"/>
    </row>
    <row r="2" spans="1:4">
      <c r="A2" s="453"/>
      <c r="B2" s="452"/>
    </row>
    <row r="3" spans="1:4" ht="13.5" thickBot="1">
      <c r="A3" s="454" t="s">
        <v>47</v>
      </c>
      <c r="B3" s="456" t="s">
        <v>181</v>
      </c>
    </row>
    <row r="4" spans="1:4">
      <c r="A4" s="35"/>
      <c r="B4" s="7"/>
    </row>
    <row r="5" spans="1:4">
      <c r="A5" s="36"/>
      <c r="B5" s="9"/>
    </row>
    <row r="6" spans="1:4">
      <c r="A6" s="36" t="s">
        <v>182</v>
      </c>
      <c r="B6" s="75"/>
    </row>
    <row r="7" spans="1:4">
      <c r="A7" s="37"/>
      <c r="B7" s="75"/>
    </row>
    <row r="8" spans="1:4">
      <c r="A8" s="36" t="s">
        <v>53</v>
      </c>
      <c r="B8" s="410">
        <v>35.14957239012459</v>
      </c>
      <c r="C8" s="58"/>
      <c r="D8" s="31"/>
    </row>
    <row r="9" spans="1:4">
      <c r="A9" s="36" t="s">
        <v>51</v>
      </c>
      <c r="B9" s="410">
        <v>46.972334953224312</v>
      </c>
      <c r="C9" s="58"/>
      <c r="D9" s="31"/>
    </row>
    <row r="10" spans="1:4">
      <c r="A10" s="36" t="s">
        <v>52</v>
      </c>
      <c r="B10" s="75">
        <v>0</v>
      </c>
      <c r="D10" s="31"/>
    </row>
    <row r="11" spans="1:4">
      <c r="A11" s="38"/>
      <c r="B11" s="40"/>
      <c r="D11" s="31"/>
    </row>
    <row r="12" spans="1:4">
      <c r="A12" s="36" t="s">
        <v>35</v>
      </c>
      <c r="B12" s="40">
        <f>SUM(B8:B10)</f>
        <v>82.121907343348909</v>
      </c>
      <c r="D12" s="31"/>
    </row>
    <row r="13" spans="1:4">
      <c r="A13" s="38"/>
      <c r="B13" s="40"/>
      <c r="D13" s="31"/>
    </row>
    <row r="14" spans="1:4">
      <c r="A14" s="36" t="s">
        <v>61</v>
      </c>
      <c r="B14" s="40"/>
      <c r="D14" s="31"/>
    </row>
    <row r="15" spans="1:4">
      <c r="A15" s="47">
        <f>Inputs!C3</f>
        <v>2.7723662892949787E-2</v>
      </c>
      <c r="B15" s="40"/>
      <c r="D15" s="31"/>
    </row>
    <row r="16" spans="1:4">
      <c r="A16" s="36" t="s">
        <v>60</v>
      </c>
      <c r="B16" s="40"/>
      <c r="D16" s="31"/>
    </row>
    <row r="17" spans="1:5">
      <c r="A17" s="47">
        <f>Inputs!C4</f>
        <v>1.5023E-2</v>
      </c>
      <c r="B17" s="40"/>
      <c r="D17" s="31"/>
    </row>
    <row r="18" spans="1:5">
      <c r="A18" s="94" t="s">
        <v>97</v>
      </c>
      <c r="B18" s="40">
        <f t="shared" ref="B18:B20" si="0">(B8*(1+$A$15)*(1+$A$17))</f>
        <v>36.666738848275813</v>
      </c>
      <c r="D18" s="31"/>
    </row>
    <row r="19" spans="1:5">
      <c r="A19" s="94" t="s">
        <v>51</v>
      </c>
      <c r="B19" s="40">
        <f t="shared" si="0"/>
        <v>48.999809150096709</v>
      </c>
      <c r="D19" s="31"/>
    </row>
    <row r="20" spans="1:5">
      <c r="A20" s="94" t="s">
        <v>52</v>
      </c>
      <c r="B20" s="40">
        <f t="shared" si="0"/>
        <v>0</v>
      </c>
      <c r="D20" s="31"/>
    </row>
    <row r="21" spans="1:5">
      <c r="A21" s="47"/>
      <c r="B21" s="40"/>
      <c r="D21" s="31"/>
    </row>
    <row r="22" spans="1:5">
      <c r="A22" s="36" t="s">
        <v>35</v>
      </c>
      <c r="B22" s="40">
        <f>SUM(B18:B20)</f>
        <v>85.666547998372522</v>
      </c>
      <c r="D22" s="31"/>
    </row>
    <row r="23" spans="1:5">
      <c r="A23" s="38"/>
      <c r="B23" s="40"/>
      <c r="D23" s="31"/>
    </row>
    <row r="24" spans="1:5">
      <c r="A24" s="94" t="s">
        <v>316</v>
      </c>
      <c r="B24" s="75">
        <f>B18*Inputs!$C$5</f>
        <v>2.9508901019754501</v>
      </c>
      <c r="D24" s="31"/>
    </row>
    <row r="25" spans="1:5">
      <c r="A25" s="94" t="s">
        <v>317</v>
      </c>
      <c r="B25" s="75">
        <f>B19*Inputs!$C$6</f>
        <v>3.4679644297316532</v>
      </c>
      <c r="D25" s="31"/>
    </row>
    <row r="26" spans="1:5" ht="15">
      <c r="A26" s="94" t="s">
        <v>318</v>
      </c>
      <c r="B26" s="463">
        <f>B20*Inputs!$C$7</f>
        <v>0</v>
      </c>
      <c r="D26" s="31"/>
    </row>
    <row r="27" spans="1:5">
      <c r="A27" s="86" t="s">
        <v>312</v>
      </c>
      <c r="B27" s="75">
        <f>SUM(B24:B26)</f>
        <v>6.4188545317071029</v>
      </c>
      <c r="D27" s="31"/>
    </row>
    <row r="28" spans="1:5">
      <c r="A28" s="36"/>
      <c r="B28" s="40"/>
      <c r="D28" s="31"/>
      <c r="E28" s="12"/>
    </row>
    <row r="29" spans="1:5">
      <c r="A29" s="36" t="s">
        <v>177</v>
      </c>
      <c r="B29" s="545">
        <v>3145.2171148141138</v>
      </c>
      <c r="C29" s="58"/>
      <c r="D29" s="31"/>
      <c r="E29" s="586"/>
    </row>
    <row r="30" spans="1:5">
      <c r="A30" s="36" t="s">
        <v>59</v>
      </c>
      <c r="B30" s="43">
        <v>103</v>
      </c>
      <c r="D30" s="31"/>
      <c r="E30" s="586"/>
    </row>
    <row r="31" spans="1:5">
      <c r="A31" s="36"/>
      <c r="B31" s="43"/>
      <c r="D31" s="31"/>
      <c r="E31" s="12"/>
    </row>
    <row r="32" spans="1:5">
      <c r="A32" s="36" t="s">
        <v>183</v>
      </c>
      <c r="B32" s="44">
        <f>B27</f>
        <v>6.4188545317071029</v>
      </c>
      <c r="D32" s="31"/>
      <c r="E32" s="31"/>
    </row>
    <row r="33" spans="1:6">
      <c r="A33" s="36"/>
      <c r="B33" s="44"/>
      <c r="D33" s="31"/>
    </row>
    <row r="34" spans="1:6">
      <c r="A34" s="36" t="s">
        <v>50</v>
      </c>
      <c r="B34" s="717">
        <v>4.7294512326942231</v>
      </c>
      <c r="D34" s="31"/>
    </row>
    <row r="35" spans="1:6" ht="15">
      <c r="A35" s="36" t="s">
        <v>379</v>
      </c>
      <c r="B35" s="553">
        <f>-Inputs!C18*B30/B29</f>
        <v>-9.9174528954089833E-2</v>
      </c>
      <c r="D35" s="31"/>
    </row>
    <row r="36" spans="1:6">
      <c r="A36" s="36" t="s">
        <v>377</v>
      </c>
      <c r="B36" s="40">
        <f>B34+B35</f>
        <v>4.6302767037401331</v>
      </c>
      <c r="D36" s="31"/>
      <c r="E36" s="332"/>
    </row>
    <row r="37" spans="1:6">
      <c r="A37" s="11"/>
      <c r="B37" s="40"/>
      <c r="D37" s="31"/>
    </row>
    <row r="38" spans="1:6">
      <c r="A38" s="36" t="s">
        <v>57</v>
      </c>
      <c r="B38" s="717">
        <v>1.1316978447365378</v>
      </c>
      <c r="D38" s="31"/>
      <c r="E38" s="31"/>
    </row>
    <row r="39" spans="1:6">
      <c r="A39" s="11"/>
      <c r="B39" s="40"/>
      <c r="D39" s="31"/>
    </row>
    <row r="40" spans="1:6">
      <c r="A40" s="36" t="s">
        <v>184</v>
      </c>
      <c r="B40" s="40">
        <f>B32+B36+B38</f>
        <v>12.180829080183774</v>
      </c>
      <c r="D40" s="31"/>
      <c r="E40" s="31"/>
      <c r="F40" s="31"/>
    </row>
    <row r="41" spans="1:6" ht="13.5" thickBot="1">
      <c r="A41" s="39"/>
      <c r="B41" s="17"/>
    </row>
    <row r="42" spans="1:6">
      <c r="A42" s="246"/>
      <c r="B42" s="261"/>
    </row>
    <row r="43" spans="1:6">
      <c r="A43" s="10" t="s">
        <v>307</v>
      </c>
      <c r="B43" s="14"/>
    </row>
    <row r="44" spans="1:6">
      <c r="A44" s="496" t="s">
        <v>340</v>
      </c>
      <c r="B44" s="76"/>
    </row>
    <row r="45" spans="1:6">
      <c r="A45" s="496" t="s">
        <v>341</v>
      </c>
      <c r="B45" s="76"/>
    </row>
    <row r="46" spans="1:6">
      <c r="A46" s="421" t="s">
        <v>394</v>
      </c>
      <c r="B46" s="76"/>
    </row>
    <row r="47" spans="1:6" ht="13.5" thickBot="1">
      <c r="A47" s="438" t="s">
        <v>305</v>
      </c>
      <c r="B47" s="80"/>
    </row>
    <row r="54" spans="1:1">
      <c r="A54" s="19"/>
    </row>
    <row r="66" spans="1:1">
      <c r="A66" s="19"/>
    </row>
  </sheetData>
  <mergeCells count="1">
    <mergeCell ref="A1:B1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tabColor rgb="FF333333"/>
  </sheetPr>
  <dimension ref="A1:AB73"/>
  <sheetViews>
    <sheetView tabSelected="1" topLeftCell="A4" zoomScaleNormal="100" workbookViewId="0">
      <pane xSplit="1" topLeftCell="B1" activePane="topRight" state="frozen"/>
      <selection activeCell="D15" sqref="D15"/>
      <selection pane="topRight" activeCell="A7" sqref="A7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  <col min="22" max="22" width="12.85546875" bestFit="1" customWidth="1"/>
    <col min="23" max="23" width="11.28515625" bestFit="1" customWidth="1"/>
    <col min="24" max="24" width="7.28515625" bestFit="1" customWidth="1"/>
    <col min="25" max="25" width="8.7109375" bestFit="1" customWidth="1"/>
    <col min="28" max="28" width="11.28515625" bestFit="1" customWidth="1"/>
  </cols>
  <sheetData>
    <row r="1" spans="1:28" ht="18.75" thickBot="1">
      <c r="A1" s="764" t="s">
        <v>203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  <c r="N1" s="741"/>
      <c r="O1" s="741"/>
      <c r="P1" s="741"/>
      <c r="Q1" s="741"/>
      <c r="R1" s="741"/>
      <c r="S1" s="741"/>
      <c r="T1" s="741"/>
      <c r="U1" s="741"/>
      <c r="V1" s="741"/>
      <c r="W1" s="741"/>
      <c r="X1" s="741"/>
      <c r="Y1" s="741"/>
    </row>
    <row r="2" spans="1:28" ht="13.5" thickBot="1">
      <c r="A2" s="103"/>
      <c r="B2" s="749" t="s">
        <v>0</v>
      </c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51"/>
      <c r="S2" s="745"/>
      <c r="T2" s="745"/>
      <c r="U2" s="746"/>
      <c r="V2" s="751"/>
      <c r="W2" s="745"/>
      <c r="X2" s="745"/>
      <c r="Y2" s="746"/>
    </row>
    <row r="3" spans="1:28" ht="13.5" thickBot="1">
      <c r="A3" s="163"/>
      <c r="B3" s="749" t="s">
        <v>113</v>
      </c>
      <c r="C3" s="750"/>
      <c r="D3" s="750"/>
      <c r="E3" s="752"/>
      <c r="F3" s="749" t="s">
        <v>100</v>
      </c>
      <c r="G3" s="750"/>
      <c r="H3" s="750"/>
      <c r="I3" s="752"/>
      <c r="J3" s="749" t="s">
        <v>33</v>
      </c>
      <c r="K3" s="750"/>
      <c r="L3" s="750"/>
      <c r="M3" s="752"/>
      <c r="N3" s="742" t="s">
        <v>34</v>
      </c>
      <c r="O3" s="743"/>
      <c r="P3" s="743"/>
      <c r="Q3" s="743"/>
      <c r="R3" s="753" t="s">
        <v>1</v>
      </c>
      <c r="S3" s="754"/>
      <c r="T3" s="754"/>
      <c r="U3" s="755"/>
      <c r="V3" s="753" t="s">
        <v>87</v>
      </c>
      <c r="W3" s="754"/>
      <c r="X3" s="754"/>
      <c r="Y3" s="755"/>
    </row>
    <row r="4" spans="1:28" ht="13.5" thickBot="1">
      <c r="A4" s="77" t="s">
        <v>4</v>
      </c>
      <c r="B4" s="556" t="s">
        <v>36</v>
      </c>
      <c r="C4" s="557" t="s">
        <v>37</v>
      </c>
      <c r="D4" s="557" t="s">
        <v>38</v>
      </c>
      <c r="E4" s="558" t="s">
        <v>2</v>
      </c>
      <c r="F4" s="556" t="s">
        <v>36</v>
      </c>
      <c r="G4" s="557" t="s">
        <v>37</v>
      </c>
      <c r="H4" s="557" t="s">
        <v>38</v>
      </c>
      <c r="I4" s="558" t="s">
        <v>2</v>
      </c>
      <c r="J4" s="556" t="s">
        <v>36</v>
      </c>
      <c r="K4" s="557" t="s">
        <v>37</v>
      </c>
      <c r="L4" s="557" t="s">
        <v>38</v>
      </c>
      <c r="M4" s="558" t="s">
        <v>2</v>
      </c>
      <c r="N4" s="556" t="s">
        <v>36</v>
      </c>
      <c r="O4" s="557" t="s">
        <v>37</v>
      </c>
      <c r="P4" s="557" t="s">
        <v>38</v>
      </c>
      <c r="Q4" s="558" t="s">
        <v>2</v>
      </c>
      <c r="R4" s="556" t="s">
        <v>36</v>
      </c>
      <c r="S4" s="557" t="s">
        <v>37</v>
      </c>
      <c r="T4" s="557" t="s">
        <v>38</v>
      </c>
      <c r="U4" s="558" t="s">
        <v>2</v>
      </c>
      <c r="V4" s="556" t="s">
        <v>36</v>
      </c>
      <c r="W4" s="557" t="s">
        <v>37</v>
      </c>
      <c r="X4" s="557" t="s">
        <v>38</v>
      </c>
      <c r="Y4" s="558" t="s">
        <v>2</v>
      </c>
    </row>
    <row r="5" spans="1:28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  <c r="V5" s="104" t="s">
        <v>44</v>
      </c>
      <c r="W5" s="6" t="s">
        <v>44</v>
      </c>
      <c r="X5" s="6" t="s">
        <v>44</v>
      </c>
      <c r="Y5" s="7" t="s">
        <v>44</v>
      </c>
    </row>
    <row r="6" spans="1:28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</row>
    <row r="7" spans="1:28">
      <c r="A7" s="124" t="s">
        <v>5</v>
      </c>
      <c r="B7" s="408">
        <v>359.9068707037095</v>
      </c>
      <c r="C7" s="407">
        <v>138.7130210066349</v>
      </c>
      <c r="D7" s="407">
        <v>285.68</v>
      </c>
      <c r="E7" s="41">
        <f>SUM(B7:D7)</f>
        <v>784.29989171034435</v>
      </c>
      <c r="F7" s="408">
        <v>415.6877757254037</v>
      </c>
      <c r="G7" s="407">
        <v>754.14273000301057</v>
      </c>
      <c r="H7" s="407">
        <v>367.31</v>
      </c>
      <c r="I7" s="41">
        <f>SUM(F7:H7)</f>
        <v>1537.1405057284142</v>
      </c>
      <c r="J7" s="408">
        <v>437.08100819147381</v>
      </c>
      <c r="K7" s="407">
        <v>754.14273000301057</v>
      </c>
      <c r="L7" s="407">
        <v>367.31</v>
      </c>
      <c r="M7" s="41">
        <f>SUM(J7:L7)</f>
        <v>1558.5337381944844</v>
      </c>
      <c r="N7" s="408">
        <v>515.58235631294031</v>
      </c>
      <c r="O7" s="407">
        <v>754.14273000301057</v>
      </c>
      <c r="P7" s="407">
        <v>367.31</v>
      </c>
      <c r="Q7" s="41">
        <f>SUM(N7:P7)</f>
        <v>1637.0350863159508</v>
      </c>
      <c r="R7" s="113"/>
      <c r="S7" s="407">
        <v>3870.6678530329991</v>
      </c>
      <c r="T7" s="407">
        <v>1057.71</v>
      </c>
      <c r="U7" s="41">
        <f>SUM(R7:T7)</f>
        <v>4928.3778530329992</v>
      </c>
      <c r="V7" s="113"/>
      <c r="W7" s="407">
        <v>67112.379981880833</v>
      </c>
      <c r="X7" s="407">
        <v>1183.23</v>
      </c>
      <c r="Y7" s="41">
        <f>SUM(V7:X7)</f>
        <v>68295.609981880829</v>
      </c>
      <c r="AB7" s="31"/>
    </row>
    <row r="8" spans="1:28">
      <c r="A8" s="124" t="s">
        <v>6</v>
      </c>
      <c r="B8" s="408">
        <v>1079.7206121111285</v>
      </c>
      <c r="C8" s="407">
        <v>138.7130210066349</v>
      </c>
      <c r="D8" s="407">
        <v>285.68</v>
      </c>
      <c r="E8" s="41">
        <f t="shared" ref="E8:E16" si="0">SUM(B8:D8)</f>
        <v>1504.1136331177634</v>
      </c>
      <c r="F8" s="408">
        <v>1247.063327176211</v>
      </c>
      <c r="G8" s="407">
        <v>754.14273000301057</v>
      </c>
      <c r="H8" s="407">
        <v>367.31</v>
      </c>
      <c r="I8" s="41">
        <f t="shared" ref="I8:I17" si="1">SUM(F8:H8)</f>
        <v>2368.5160571792217</v>
      </c>
      <c r="J8" s="408">
        <v>1311.2430245744215</v>
      </c>
      <c r="K8" s="407">
        <v>754.14273000301057</v>
      </c>
      <c r="L8" s="407">
        <v>367.31</v>
      </c>
      <c r="M8" s="41">
        <f t="shared" ref="M8:M19" si="2">SUM(J8:L8)</f>
        <v>2432.6957545774321</v>
      </c>
      <c r="N8" s="408">
        <v>1546.7470689388208</v>
      </c>
      <c r="O8" s="407">
        <v>754.14273000301057</v>
      </c>
      <c r="P8" s="407">
        <v>367.31</v>
      </c>
      <c r="Q8" s="41">
        <f t="shared" ref="Q8:Q34" si="3">SUM(N8:P8)</f>
        <v>2668.1997989418314</v>
      </c>
      <c r="R8" s="113"/>
      <c r="S8" s="407">
        <v>3870.6678530329991</v>
      </c>
      <c r="T8" s="407">
        <v>1057.71</v>
      </c>
      <c r="U8" s="41">
        <f t="shared" ref="U8:U19" si="4">SUM(R8:T8)</f>
        <v>4928.3778530329992</v>
      </c>
      <c r="V8" s="113"/>
      <c r="W8" s="407">
        <v>67112.379981880833</v>
      </c>
      <c r="X8" s="407">
        <v>1183.23</v>
      </c>
      <c r="Y8" s="41">
        <f t="shared" ref="Y8:Y19" si="5">SUM(V8:X8)</f>
        <v>68295.609981880829</v>
      </c>
    </row>
    <row r="9" spans="1:28">
      <c r="A9" s="124" t="s">
        <v>7</v>
      </c>
      <c r="B9" s="408">
        <v>1079.7206121111285</v>
      </c>
      <c r="C9" s="407">
        <v>195.52229201326981</v>
      </c>
      <c r="D9" s="407">
        <v>285.68</v>
      </c>
      <c r="E9" s="41">
        <f t="shared" si="0"/>
        <v>1560.9229041243984</v>
      </c>
      <c r="F9" s="408">
        <v>2494.1266543524221</v>
      </c>
      <c r="G9" s="407">
        <v>888.28562532861781</v>
      </c>
      <c r="H9" s="407">
        <v>367.31</v>
      </c>
      <c r="I9" s="41">
        <f t="shared" si="1"/>
        <v>3749.7222796810397</v>
      </c>
      <c r="J9" s="408">
        <v>2622.486049148843</v>
      </c>
      <c r="K9" s="407">
        <v>888.28562532861781</v>
      </c>
      <c r="L9" s="407">
        <v>367.31</v>
      </c>
      <c r="M9" s="41">
        <f t="shared" si="2"/>
        <v>3878.0816744774606</v>
      </c>
      <c r="N9" s="408">
        <v>3093.4941378776416</v>
      </c>
      <c r="O9" s="407">
        <v>888.28562532861781</v>
      </c>
      <c r="P9" s="407">
        <v>367.31</v>
      </c>
      <c r="Q9" s="41">
        <f t="shared" si="3"/>
        <v>4349.0897632062597</v>
      </c>
      <c r="R9" s="113"/>
      <c r="S9" s="407">
        <v>3870.6678530329991</v>
      </c>
      <c r="T9" s="407">
        <v>1057.71</v>
      </c>
      <c r="U9" s="41">
        <f t="shared" si="4"/>
        <v>4928.3778530329992</v>
      </c>
      <c r="V9" s="113"/>
      <c r="W9" s="407">
        <v>67112.379981880833</v>
      </c>
      <c r="X9" s="407">
        <v>1183.23</v>
      </c>
      <c r="Y9" s="41">
        <f t="shared" si="5"/>
        <v>68295.609981880829</v>
      </c>
    </row>
    <row r="10" spans="1:28">
      <c r="A10" s="124" t="s">
        <v>110</v>
      </c>
      <c r="B10" s="408">
        <v>2699.3015302778213</v>
      </c>
      <c r="C10" s="407">
        <v>213.73179817905475</v>
      </c>
      <c r="D10" s="407">
        <v>285.68</v>
      </c>
      <c r="E10" s="41">
        <f t="shared" si="0"/>
        <v>3198.7133284568758</v>
      </c>
      <c r="F10" s="408">
        <v>5819.6288601556516</v>
      </c>
      <c r="G10" s="407">
        <v>888.28562532861781</v>
      </c>
      <c r="H10" s="407">
        <v>367.31</v>
      </c>
      <c r="I10" s="41">
        <f t="shared" si="1"/>
        <v>7075.2244854842702</v>
      </c>
      <c r="J10" s="408">
        <v>6119.1341146806335</v>
      </c>
      <c r="K10" s="407">
        <v>888.28562532861781</v>
      </c>
      <c r="L10" s="407">
        <v>367.31</v>
      </c>
      <c r="M10" s="41">
        <f t="shared" si="2"/>
        <v>7374.7297400092521</v>
      </c>
      <c r="N10" s="408">
        <v>7218.1529883811636</v>
      </c>
      <c r="O10" s="407">
        <v>888.28562532861781</v>
      </c>
      <c r="P10" s="407">
        <v>367.31</v>
      </c>
      <c r="Q10" s="41">
        <f t="shared" si="3"/>
        <v>8473.7486137097821</v>
      </c>
      <c r="R10" s="113"/>
      <c r="S10" s="407">
        <v>3870.6678530329991</v>
      </c>
      <c r="T10" s="407">
        <v>1057.71</v>
      </c>
      <c r="U10" s="41">
        <f t="shared" si="4"/>
        <v>4928.3778530329992</v>
      </c>
      <c r="V10" s="113"/>
      <c r="W10" s="407">
        <v>67112.379981880833</v>
      </c>
      <c r="X10" s="407">
        <v>1183.23</v>
      </c>
      <c r="Y10" s="41">
        <f t="shared" si="5"/>
        <v>68295.609981880829</v>
      </c>
    </row>
    <row r="11" spans="1:28">
      <c r="A11" s="124" t="s">
        <v>102</v>
      </c>
      <c r="B11" s="408">
        <v>2699.3015302778213</v>
      </c>
      <c r="C11" s="407">
        <v>213.73179817905475</v>
      </c>
      <c r="D11" s="407">
        <v>285.68</v>
      </c>
      <c r="E11" s="41">
        <f t="shared" si="0"/>
        <v>3198.7133284568758</v>
      </c>
      <c r="F11" s="408">
        <v>5819.6288601556516</v>
      </c>
      <c r="G11" s="407">
        <v>888.28562532861781</v>
      </c>
      <c r="H11" s="407">
        <v>367.31</v>
      </c>
      <c r="I11" s="41">
        <f t="shared" si="1"/>
        <v>7075.2244854842702</v>
      </c>
      <c r="J11" s="408">
        <v>6119.1341146806335</v>
      </c>
      <c r="K11" s="407">
        <v>888.28562532861781</v>
      </c>
      <c r="L11" s="407">
        <v>367.31</v>
      </c>
      <c r="M11" s="41">
        <f t="shared" si="2"/>
        <v>7374.7297400092521</v>
      </c>
      <c r="N11" s="408">
        <v>7218.1529883811636</v>
      </c>
      <c r="O11" s="407">
        <v>888.28562532861781</v>
      </c>
      <c r="P11" s="407">
        <v>367.31</v>
      </c>
      <c r="Q11" s="41">
        <f t="shared" si="3"/>
        <v>8473.7486137097821</v>
      </c>
      <c r="R11" s="113"/>
      <c r="S11" s="407">
        <v>3870.6678530329991</v>
      </c>
      <c r="T11" s="407">
        <v>1057.71</v>
      </c>
      <c r="U11" s="41">
        <f t="shared" si="4"/>
        <v>4928.3778530329992</v>
      </c>
      <c r="V11" s="113"/>
      <c r="W11" s="407">
        <v>67112.379981880833</v>
      </c>
      <c r="X11" s="407">
        <v>1183.23</v>
      </c>
      <c r="Y11" s="41">
        <f t="shared" si="5"/>
        <v>68295.609981880829</v>
      </c>
    </row>
    <row r="12" spans="1:28">
      <c r="A12" s="124" t="s">
        <v>8</v>
      </c>
      <c r="B12" s="408">
        <v>5800.0690373856005</v>
      </c>
      <c r="C12" s="407">
        <v>515.2781532122292</v>
      </c>
      <c r="D12" s="407">
        <v>285.68</v>
      </c>
      <c r="E12" s="41">
        <f t="shared" si="0"/>
        <v>6601.0271905978298</v>
      </c>
      <c r="F12" s="408">
        <v>17458.886580466955</v>
      </c>
      <c r="G12" s="407">
        <v>1156.5714159798322</v>
      </c>
      <c r="H12" s="407">
        <v>367.31</v>
      </c>
      <c r="I12" s="41">
        <f t="shared" si="1"/>
        <v>18982.76799644679</v>
      </c>
      <c r="J12" s="408">
        <v>18357.402344041901</v>
      </c>
      <c r="K12" s="407">
        <v>1156.5714159798322</v>
      </c>
      <c r="L12" s="407">
        <v>367.31</v>
      </c>
      <c r="M12" s="41">
        <f t="shared" si="2"/>
        <v>19881.283760021735</v>
      </c>
      <c r="N12" s="408">
        <v>7218.1529883811636</v>
      </c>
      <c r="O12" s="407">
        <v>1156.5714159798322</v>
      </c>
      <c r="P12" s="407">
        <v>367.31</v>
      </c>
      <c r="Q12" s="41">
        <f t="shared" si="3"/>
        <v>8742.0344043609948</v>
      </c>
      <c r="R12" s="113"/>
      <c r="S12" s="407">
        <v>3870.6678530329991</v>
      </c>
      <c r="T12" s="407">
        <v>1057.71</v>
      </c>
      <c r="U12" s="41">
        <f t="shared" si="4"/>
        <v>4928.3778530329992</v>
      </c>
      <c r="V12" s="113"/>
      <c r="W12" s="407">
        <v>67112.379981880833</v>
      </c>
      <c r="X12" s="407">
        <v>1183.23</v>
      </c>
      <c r="Y12" s="41">
        <f t="shared" si="5"/>
        <v>68295.609981880829</v>
      </c>
    </row>
    <row r="13" spans="1:28">
      <c r="A13" s="124" t="s">
        <v>9</v>
      </c>
      <c r="B13" s="408">
        <v>6368.9186698837793</v>
      </c>
      <c r="C13" s="407">
        <v>830.17368518837884</v>
      </c>
      <c r="D13" s="407">
        <v>285.68</v>
      </c>
      <c r="E13" s="41">
        <f t="shared" si="0"/>
        <v>7484.7723550721585</v>
      </c>
      <c r="F13" s="408">
        <v>17458.886580466955</v>
      </c>
      <c r="G13" s="407">
        <v>1781.4759788251249</v>
      </c>
      <c r="H13" s="407">
        <v>367.31</v>
      </c>
      <c r="I13" s="41">
        <f t="shared" si="1"/>
        <v>19607.672559292081</v>
      </c>
      <c r="J13" s="408">
        <v>18357.402344041901</v>
      </c>
      <c r="K13" s="407">
        <v>1781.4759788251249</v>
      </c>
      <c r="L13" s="407">
        <v>367.31</v>
      </c>
      <c r="M13" s="41">
        <f t="shared" si="2"/>
        <v>20506.188322867027</v>
      </c>
      <c r="N13" s="408">
        <v>10827.229482571745</v>
      </c>
      <c r="O13" s="407">
        <v>1156.5714159798322</v>
      </c>
      <c r="P13" s="407">
        <v>367.31</v>
      </c>
      <c r="Q13" s="41">
        <f t="shared" si="3"/>
        <v>12351.110898551577</v>
      </c>
      <c r="R13" s="113"/>
      <c r="S13" s="407">
        <v>3870.6678530329991</v>
      </c>
      <c r="T13" s="407">
        <v>1057.71</v>
      </c>
      <c r="U13" s="41">
        <f t="shared" si="4"/>
        <v>4928.3778530329992</v>
      </c>
      <c r="V13" s="113"/>
      <c r="W13" s="407">
        <v>67112.379981880833</v>
      </c>
      <c r="X13" s="407">
        <v>1183.23</v>
      </c>
      <c r="Y13" s="41">
        <f t="shared" si="5"/>
        <v>68295.609981880829</v>
      </c>
    </row>
    <row r="14" spans="1:28">
      <c r="A14" s="124" t="s">
        <v>10</v>
      </c>
      <c r="B14" s="408">
        <v>6104.4280378817093</v>
      </c>
      <c r="C14" s="407">
        <v>1578.4436203767575</v>
      </c>
      <c r="D14" s="407">
        <v>285.68</v>
      </c>
      <c r="E14" s="41">
        <f t="shared" si="0"/>
        <v>7968.5516582584669</v>
      </c>
      <c r="F14" s="408">
        <v>10312.778791627177</v>
      </c>
      <c r="G14" s="407">
        <v>1781.4759788251249</v>
      </c>
      <c r="H14" s="407">
        <v>367.31</v>
      </c>
      <c r="I14" s="41">
        <f t="shared" si="1"/>
        <v>12461.564770452302</v>
      </c>
      <c r="J14" s="408">
        <v>10632.265611560561</v>
      </c>
      <c r="K14" s="407">
        <v>1781.4759788251249</v>
      </c>
      <c r="L14" s="407">
        <v>367.31</v>
      </c>
      <c r="M14" s="41">
        <f t="shared" si="2"/>
        <v>12781.051590385685</v>
      </c>
      <c r="N14" s="408">
        <v>10827.229482571745</v>
      </c>
      <c r="O14" s="407">
        <v>1781.4759788251249</v>
      </c>
      <c r="P14" s="407">
        <v>367.31</v>
      </c>
      <c r="Q14" s="41">
        <f t="shared" si="3"/>
        <v>12976.01546139687</v>
      </c>
      <c r="R14" s="113"/>
      <c r="S14" s="407">
        <v>3870.6678530329991</v>
      </c>
      <c r="T14" s="407">
        <v>1057.71</v>
      </c>
      <c r="U14" s="41">
        <f t="shared" si="4"/>
        <v>4928.3778530329992</v>
      </c>
      <c r="V14" s="113"/>
      <c r="W14" s="407">
        <v>67112.379981880833</v>
      </c>
      <c r="X14" s="407">
        <v>1183.23</v>
      </c>
      <c r="Y14" s="41">
        <f t="shared" si="5"/>
        <v>68295.609981880829</v>
      </c>
    </row>
    <row r="15" spans="1:28">
      <c r="A15" s="124" t="s">
        <v>11</v>
      </c>
      <c r="B15" s="408">
        <v>6104.4280378817093</v>
      </c>
      <c r="C15" s="407">
        <v>2326.7135555651362</v>
      </c>
      <c r="D15" s="407">
        <v>285.68</v>
      </c>
      <c r="E15" s="41">
        <f t="shared" si="0"/>
        <v>8716.8215934468462</v>
      </c>
      <c r="F15" s="408">
        <v>10312.778791627177</v>
      </c>
      <c r="G15" s="407">
        <v>3562.9519576502498</v>
      </c>
      <c r="H15" s="407">
        <v>1057.71</v>
      </c>
      <c r="I15" s="41">
        <f t="shared" si="1"/>
        <v>14933.440749277426</v>
      </c>
      <c r="J15" s="408">
        <v>21264.531223121121</v>
      </c>
      <c r="K15" s="407">
        <v>3562.9519576502498</v>
      </c>
      <c r="L15" s="407">
        <v>1057.71</v>
      </c>
      <c r="M15" s="41">
        <f t="shared" si="2"/>
        <v>25885.19318077137</v>
      </c>
      <c r="N15" s="408">
        <v>21654.458965143491</v>
      </c>
      <c r="O15" s="407">
        <v>1781.4759788251249</v>
      </c>
      <c r="P15" s="407">
        <v>1057.71</v>
      </c>
      <c r="Q15" s="41">
        <f t="shared" si="3"/>
        <v>24493.644943968615</v>
      </c>
      <c r="R15" s="113"/>
      <c r="S15" s="407">
        <v>3870.6678530329991</v>
      </c>
      <c r="T15" s="407">
        <v>1183.23</v>
      </c>
      <c r="U15" s="41">
        <f t="shared" si="4"/>
        <v>5053.8978530329987</v>
      </c>
      <c r="V15" s="113"/>
      <c r="W15" s="407">
        <v>67112.379981880833</v>
      </c>
      <c r="X15" s="407">
        <v>1183.23</v>
      </c>
      <c r="Y15" s="41">
        <f t="shared" si="5"/>
        <v>68295.609981880829</v>
      </c>
    </row>
    <row r="16" spans="1:28">
      <c r="A16" s="124" t="s">
        <v>106</v>
      </c>
      <c r="B16" s="408">
        <v>8622.4294367037546</v>
      </c>
      <c r="C16" s="407">
        <v>2326.7135555651362</v>
      </c>
      <c r="D16" s="407">
        <v>285.68</v>
      </c>
      <c r="E16" s="41">
        <f t="shared" si="0"/>
        <v>11234.822992268892</v>
      </c>
      <c r="F16" s="408">
        <v>20625.557583254355</v>
      </c>
      <c r="G16" s="407">
        <v>4799.9629618624504</v>
      </c>
      <c r="H16" s="407">
        <v>1057.71</v>
      </c>
      <c r="I16" s="41">
        <f t="shared" si="1"/>
        <v>26483.230545116803</v>
      </c>
      <c r="J16" s="408">
        <v>11980.265558589947</v>
      </c>
      <c r="K16" s="407">
        <v>4799.9629618624504</v>
      </c>
      <c r="L16" s="407">
        <v>1057.71</v>
      </c>
      <c r="M16" s="41">
        <f t="shared" si="2"/>
        <v>17837.938520452397</v>
      </c>
      <c r="N16" s="408">
        <v>11342.068843866331</v>
      </c>
      <c r="O16" s="407">
        <v>2399.9814809312252</v>
      </c>
      <c r="P16" s="407">
        <v>1057.71</v>
      </c>
      <c r="Q16" s="41">
        <f t="shared" si="3"/>
        <v>14799.760324797557</v>
      </c>
      <c r="R16" s="113"/>
      <c r="S16" s="407">
        <v>3870.6678530329991</v>
      </c>
      <c r="T16" s="407">
        <v>1183.23</v>
      </c>
      <c r="U16" s="41">
        <f t="shared" si="4"/>
        <v>5053.8978530329987</v>
      </c>
      <c r="V16" s="113"/>
      <c r="W16" s="407">
        <v>67112.379981880833</v>
      </c>
      <c r="X16" s="407">
        <v>1183.23</v>
      </c>
      <c r="Y16" s="41">
        <f t="shared" si="5"/>
        <v>68295.609981880829</v>
      </c>
    </row>
    <row r="17" spans="1:28">
      <c r="A17" s="124" t="s">
        <v>107</v>
      </c>
      <c r="B17" s="113"/>
      <c r="C17" s="98"/>
      <c r="D17" s="98"/>
      <c r="E17" s="41"/>
      <c r="F17" s="408">
        <v>20625.557583254355</v>
      </c>
      <c r="G17" s="407">
        <v>4799.9629618624504</v>
      </c>
      <c r="H17" s="407">
        <v>1057.71</v>
      </c>
      <c r="I17" s="41">
        <f t="shared" si="1"/>
        <v>26483.230545116803</v>
      </c>
      <c r="J17" s="408">
        <v>11980.265558589947</v>
      </c>
      <c r="K17" s="407">
        <v>4799.9629618624504</v>
      </c>
      <c r="L17" s="407">
        <v>1057.71</v>
      </c>
      <c r="M17" s="41">
        <f t="shared" si="2"/>
        <v>17837.938520452397</v>
      </c>
      <c r="N17" s="408">
        <v>11342.068843866331</v>
      </c>
      <c r="O17" s="407">
        <v>2399.9814809312252</v>
      </c>
      <c r="P17" s="407">
        <v>1057.71</v>
      </c>
      <c r="Q17" s="41">
        <f t="shared" si="3"/>
        <v>14799.760324797557</v>
      </c>
      <c r="R17" s="113"/>
      <c r="S17" s="407">
        <v>3870.6678530329991</v>
      </c>
      <c r="T17" s="407">
        <v>1183.23</v>
      </c>
      <c r="U17" s="41">
        <f t="shared" si="4"/>
        <v>5053.8978530329987</v>
      </c>
      <c r="V17" s="113"/>
      <c r="W17" s="407">
        <v>67112.379981880833</v>
      </c>
      <c r="X17" s="407">
        <v>1183.23</v>
      </c>
      <c r="Y17" s="41">
        <f t="shared" si="5"/>
        <v>68295.609981880829</v>
      </c>
      <c r="AB17" s="31"/>
    </row>
    <row r="18" spans="1:28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408">
        <v>23960.531117179893</v>
      </c>
      <c r="K18" s="407">
        <v>7831.0276978534475</v>
      </c>
      <c r="L18" s="407">
        <v>1057.71</v>
      </c>
      <c r="M18" s="41">
        <f t="shared" si="2"/>
        <v>32849.268815033342</v>
      </c>
      <c r="N18" s="408">
        <v>22684.137687732662</v>
      </c>
      <c r="O18" s="407">
        <v>3915.5138489267238</v>
      </c>
      <c r="P18" s="407">
        <v>1057.71</v>
      </c>
      <c r="Q18" s="41">
        <f t="shared" si="3"/>
        <v>27657.361536659384</v>
      </c>
      <c r="R18" s="113"/>
      <c r="S18" s="407">
        <v>3870.6678530329991</v>
      </c>
      <c r="T18" s="407">
        <v>1183.23</v>
      </c>
      <c r="U18" s="41">
        <f t="shared" si="4"/>
        <v>5053.8978530329987</v>
      </c>
      <c r="V18" s="113"/>
      <c r="W18" s="407">
        <v>67112.379981880833</v>
      </c>
      <c r="X18" s="407">
        <v>1183.23</v>
      </c>
      <c r="Y18" s="41">
        <f t="shared" si="5"/>
        <v>68295.609981880829</v>
      </c>
      <c r="AB18" s="31"/>
    </row>
    <row r="19" spans="1:28">
      <c r="A19" s="124" t="s">
        <v>13</v>
      </c>
      <c r="B19" s="113"/>
      <c r="C19" s="98"/>
      <c r="D19" s="98"/>
      <c r="E19" s="41"/>
      <c r="G19" s="98"/>
      <c r="H19" s="98"/>
      <c r="I19" s="41"/>
      <c r="J19" s="408">
        <v>15342.485412202193</v>
      </c>
      <c r="K19" s="407">
        <v>11746.541546780172</v>
      </c>
      <c r="L19" s="407">
        <v>1057.71</v>
      </c>
      <c r="M19" s="41">
        <f t="shared" si="2"/>
        <v>28146.736958982365</v>
      </c>
      <c r="N19" s="408">
        <v>15342.485412202193</v>
      </c>
      <c r="O19" s="407">
        <v>4799.9629618624504</v>
      </c>
      <c r="P19" s="407">
        <v>1057.71</v>
      </c>
      <c r="Q19" s="41">
        <f t="shared" si="3"/>
        <v>21200.158374064642</v>
      </c>
      <c r="R19" s="113"/>
      <c r="S19" s="407">
        <v>3870.6678530329991</v>
      </c>
      <c r="T19" s="407">
        <v>1183.23</v>
      </c>
      <c r="U19" s="41">
        <f t="shared" si="4"/>
        <v>5053.8978530329987</v>
      </c>
      <c r="V19" s="113"/>
      <c r="W19" s="407">
        <v>67112.379981880833</v>
      </c>
      <c r="X19" s="407">
        <v>1183.23</v>
      </c>
      <c r="Y19" s="41">
        <f t="shared" si="5"/>
        <v>68295.609981880829</v>
      </c>
      <c r="AB19" s="31"/>
    </row>
    <row r="20" spans="1:28">
      <c r="A20" s="124" t="s">
        <v>108</v>
      </c>
      <c r="B20" s="113"/>
      <c r="C20" s="98"/>
      <c r="D20" s="98"/>
      <c r="E20" s="41"/>
      <c r="F20" s="113"/>
      <c r="G20" s="98"/>
      <c r="H20" s="98"/>
      <c r="I20" s="41"/>
      <c r="J20" s="408">
        <v>20736.649964965192</v>
      </c>
      <c r="K20" s="407">
        <v>11746.541546780172</v>
      </c>
      <c r="L20" s="407">
        <v>1057.71</v>
      </c>
      <c r="M20" s="41">
        <f t="shared" ref="M20:M28" si="6">SUM(J20:L20)</f>
        <v>33540.901511745367</v>
      </c>
      <c r="N20" s="408">
        <v>17521.618447137709</v>
      </c>
      <c r="O20" s="407">
        <v>4799.9629618624504</v>
      </c>
      <c r="P20" s="407">
        <v>1057.71</v>
      </c>
      <c r="Q20" s="41">
        <f>SUM(N20:P20)</f>
        <v>23379.291409000158</v>
      </c>
      <c r="R20" s="113"/>
      <c r="S20" s="407">
        <v>3870.6678530329991</v>
      </c>
      <c r="T20" s="407">
        <v>1183.23</v>
      </c>
      <c r="U20" s="41">
        <f>SUM(R20:T20)</f>
        <v>5053.8978530329987</v>
      </c>
      <c r="V20" s="113"/>
      <c r="W20" s="407">
        <v>67112.379981880833</v>
      </c>
      <c r="X20" s="407">
        <v>1183.23</v>
      </c>
      <c r="Y20" s="41">
        <f>SUM(V20:X20)</f>
        <v>68295.609981880829</v>
      </c>
      <c r="AB20" s="31"/>
    </row>
    <row r="21" spans="1:28">
      <c r="A21" s="124" t="s">
        <v>109</v>
      </c>
      <c r="B21" s="113"/>
      <c r="C21" s="98"/>
      <c r="D21" s="98"/>
      <c r="E21" s="41"/>
      <c r="F21" s="113"/>
      <c r="G21" s="98"/>
      <c r="H21" s="98"/>
      <c r="I21" s="41"/>
      <c r="J21" s="408">
        <v>20736.649964965192</v>
      </c>
      <c r="K21" s="407">
        <v>11746.541546780172</v>
      </c>
      <c r="L21" s="407">
        <v>1057.71</v>
      </c>
      <c r="M21" s="41">
        <f t="shared" si="6"/>
        <v>33540.901511745367</v>
      </c>
      <c r="N21" s="408">
        <v>17521.618447137709</v>
      </c>
      <c r="O21" s="407">
        <v>4799.9629618624504</v>
      </c>
      <c r="P21" s="407">
        <v>1057.71</v>
      </c>
      <c r="Q21" s="41">
        <f t="shared" si="3"/>
        <v>23379.291409000158</v>
      </c>
      <c r="R21" s="113"/>
      <c r="S21" s="407">
        <v>3870.6678530329991</v>
      </c>
      <c r="T21" s="407">
        <v>1183.23</v>
      </c>
      <c r="U21" s="41">
        <f t="shared" ref="U21:U37" si="7">SUM(R21:T21)</f>
        <v>5053.8978530329987</v>
      </c>
      <c r="V21" s="113"/>
      <c r="W21" s="407">
        <v>67112.379981880833</v>
      </c>
      <c r="X21" s="407">
        <v>1183.23</v>
      </c>
      <c r="Y21" s="41">
        <f t="shared" ref="Y21:Y37" si="8">SUM(V21:X21)</f>
        <v>68295.609981880829</v>
      </c>
      <c r="AB21" s="31"/>
    </row>
    <row r="22" spans="1:28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408">
        <v>41473.299929930385</v>
      </c>
      <c r="K22" s="407">
        <v>15662.055395706895</v>
      </c>
      <c r="L22" s="407">
        <v>1057.71</v>
      </c>
      <c r="M22" s="41">
        <f t="shared" si="6"/>
        <v>58193.065325637283</v>
      </c>
      <c r="N22" s="408">
        <v>35043.236894275418</v>
      </c>
      <c r="O22" s="407">
        <v>7831.0276978534475</v>
      </c>
      <c r="P22" s="407">
        <v>1057.71</v>
      </c>
      <c r="Q22" s="41">
        <f t="shared" si="3"/>
        <v>43931.974592128863</v>
      </c>
      <c r="R22" s="113"/>
      <c r="S22" s="407">
        <v>3870.6678530329991</v>
      </c>
      <c r="T22" s="407">
        <v>1183.23</v>
      </c>
      <c r="U22" s="41">
        <f t="shared" si="7"/>
        <v>5053.8978530329987</v>
      </c>
      <c r="V22" s="113"/>
      <c r="W22" s="407">
        <v>67112.379981880833</v>
      </c>
      <c r="X22" s="407">
        <v>1183.23</v>
      </c>
      <c r="Y22" s="41">
        <f t="shared" si="8"/>
        <v>68295.609981880829</v>
      </c>
    </row>
    <row r="23" spans="1:28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408">
        <v>41473.299929930385</v>
      </c>
      <c r="K23" s="407">
        <v>19577.569244633622</v>
      </c>
      <c r="L23" s="407">
        <v>1057.71</v>
      </c>
      <c r="M23" s="41">
        <f t="shared" si="6"/>
        <v>62108.579174564009</v>
      </c>
      <c r="N23" s="408">
        <v>42483.131655923069</v>
      </c>
      <c r="O23" s="407">
        <v>7831.0276978534475</v>
      </c>
      <c r="P23" s="407">
        <v>1057.71</v>
      </c>
      <c r="Q23" s="41">
        <f t="shared" si="3"/>
        <v>51371.869353776514</v>
      </c>
      <c r="R23" s="113"/>
      <c r="S23" s="407">
        <v>3870.6678530329991</v>
      </c>
      <c r="T23" s="407">
        <v>1183.23</v>
      </c>
      <c r="U23" s="41">
        <f t="shared" si="7"/>
        <v>5053.8978530329987</v>
      </c>
      <c r="V23" s="113"/>
      <c r="W23" s="407">
        <v>67112.379981880833</v>
      </c>
      <c r="X23" s="407">
        <v>1183.23</v>
      </c>
      <c r="Y23" s="41">
        <f t="shared" si="8"/>
        <v>68295.609981880829</v>
      </c>
    </row>
    <row r="24" spans="1:28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408">
        <v>48693.273430125228</v>
      </c>
      <c r="K24" s="407">
        <v>23493.083093560344</v>
      </c>
      <c r="L24" s="407">
        <v>1057.71</v>
      </c>
      <c r="M24" s="41">
        <f t="shared" si="6"/>
        <v>73244.066523685571</v>
      </c>
      <c r="N24" s="408">
        <v>42483.131655923069</v>
      </c>
      <c r="O24" s="407">
        <v>7831.0276978534475</v>
      </c>
      <c r="P24" s="407">
        <v>1057.71</v>
      </c>
      <c r="Q24" s="41">
        <f t="shared" si="3"/>
        <v>51371.869353776514</v>
      </c>
      <c r="R24" s="113"/>
      <c r="S24" s="407">
        <v>3870.6678530329991</v>
      </c>
      <c r="T24" s="407">
        <v>1183.23</v>
      </c>
      <c r="U24" s="41">
        <f t="shared" si="7"/>
        <v>5053.8978530329987</v>
      </c>
      <c r="V24" s="113"/>
      <c r="W24" s="407">
        <v>67112.379981880833</v>
      </c>
      <c r="X24" s="407">
        <v>1183.23</v>
      </c>
      <c r="Y24" s="41">
        <f t="shared" si="8"/>
        <v>68295.609981880829</v>
      </c>
    </row>
    <row r="25" spans="1:28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408">
        <v>48693.273430125228</v>
      </c>
      <c r="K25" s="407">
        <v>35239.624640340517</v>
      </c>
      <c r="L25" s="407">
        <v>1057.71</v>
      </c>
      <c r="M25" s="41">
        <f t="shared" si="6"/>
        <v>84990.608070465751</v>
      </c>
      <c r="N25" s="408">
        <v>49082.698175132624</v>
      </c>
      <c r="O25" s="407">
        <v>11746.541546780172</v>
      </c>
      <c r="P25" s="407">
        <v>1057.71</v>
      </c>
      <c r="Q25" s="41">
        <f t="shared" si="3"/>
        <v>61886.949721912795</v>
      </c>
      <c r="R25" s="113"/>
      <c r="S25" s="407">
        <v>3870.6678530329991</v>
      </c>
      <c r="T25" s="407">
        <v>1183.23</v>
      </c>
      <c r="U25" s="41">
        <f t="shared" si="7"/>
        <v>5053.8978530329987</v>
      </c>
      <c r="V25" s="113"/>
      <c r="W25" s="407">
        <v>67112.379981880833</v>
      </c>
      <c r="X25" s="407">
        <v>1183.23</v>
      </c>
      <c r="Y25" s="41">
        <f t="shared" si="8"/>
        <v>68295.609981880829</v>
      </c>
    </row>
    <row r="26" spans="1:28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408">
        <v>48693.273430125228</v>
      </c>
      <c r="K26" s="407">
        <v>46986.166187120689</v>
      </c>
      <c r="L26" s="407">
        <v>1057.71</v>
      </c>
      <c r="M26" s="41">
        <f t="shared" si="6"/>
        <v>96737.14961724593</v>
      </c>
      <c r="N26" s="408">
        <v>49082.698175132624</v>
      </c>
      <c r="O26" s="407">
        <v>15662.055395706895</v>
      </c>
      <c r="P26" s="407">
        <v>1057.71</v>
      </c>
      <c r="Q26" s="41">
        <f t="shared" si="3"/>
        <v>65802.463570839522</v>
      </c>
      <c r="R26" s="113"/>
      <c r="S26" s="407">
        <v>3870.6678530329991</v>
      </c>
      <c r="T26" s="407">
        <v>1183.23</v>
      </c>
      <c r="U26" s="41">
        <f t="shared" si="7"/>
        <v>5053.8978530329987</v>
      </c>
      <c r="V26" s="113"/>
      <c r="W26" s="407">
        <v>67112.379981880833</v>
      </c>
      <c r="X26" s="407">
        <v>1183.23</v>
      </c>
      <c r="Y26" s="41">
        <f t="shared" si="8"/>
        <v>68295.609981880829</v>
      </c>
    </row>
    <row r="27" spans="1:28">
      <c r="A27" s="124" t="s">
        <v>19</v>
      </c>
      <c r="B27" s="113"/>
      <c r="C27" s="98"/>
      <c r="D27" s="98"/>
      <c r="E27" s="41"/>
      <c r="F27" s="113"/>
      <c r="G27" s="98"/>
      <c r="H27" s="98"/>
      <c r="I27" s="41"/>
      <c r="J27" s="408">
        <v>48693.273430125228</v>
      </c>
      <c r="K27" s="407">
        <v>46986.166187120689</v>
      </c>
      <c r="L27" s="407">
        <v>1057.71</v>
      </c>
      <c r="M27" s="41">
        <f t="shared" si="6"/>
        <v>96737.14961724593</v>
      </c>
      <c r="N27" s="408">
        <v>49082.698175132624</v>
      </c>
      <c r="O27" s="407">
        <v>19577.569244633622</v>
      </c>
      <c r="P27" s="407">
        <v>1057.71</v>
      </c>
      <c r="Q27" s="41">
        <f t="shared" si="3"/>
        <v>69717.977419766248</v>
      </c>
      <c r="R27" s="113"/>
      <c r="S27" s="407">
        <v>3870.6678530329991</v>
      </c>
      <c r="T27" s="407">
        <v>1183.23</v>
      </c>
      <c r="U27" s="41">
        <f t="shared" si="7"/>
        <v>5053.8978530329987</v>
      </c>
      <c r="V27" s="113"/>
      <c r="W27" s="407">
        <v>67112.379981880833</v>
      </c>
      <c r="X27" s="407">
        <v>1183.23</v>
      </c>
      <c r="Y27" s="41">
        <f t="shared" si="8"/>
        <v>68295.609981880829</v>
      </c>
    </row>
    <row r="28" spans="1:28">
      <c r="A28" s="124" t="s">
        <v>20</v>
      </c>
      <c r="B28" s="113"/>
      <c r="C28" s="98"/>
      <c r="D28" s="98"/>
      <c r="E28" s="41"/>
      <c r="F28" s="113"/>
      <c r="G28" s="98"/>
      <c r="H28" s="98"/>
      <c r="I28" s="41"/>
      <c r="J28" s="408">
        <v>48693.273430125228</v>
      </c>
      <c r="K28" s="407">
        <v>46986.166187120689</v>
      </c>
      <c r="L28" s="407">
        <v>1057.71</v>
      </c>
      <c r="M28" s="41">
        <f t="shared" si="6"/>
        <v>96737.14961724593</v>
      </c>
      <c r="N28" s="408">
        <v>62400.892927889297</v>
      </c>
      <c r="O28" s="407">
        <v>31324.11079141379</v>
      </c>
      <c r="P28" s="407">
        <v>1057.71</v>
      </c>
      <c r="Q28" s="41">
        <f t="shared" si="3"/>
        <v>94782.713719303094</v>
      </c>
      <c r="R28" s="113"/>
      <c r="S28" s="407">
        <v>3870.6678530329991</v>
      </c>
      <c r="T28" s="407">
        <v>1183.23</v>
      </c>
      <c r="U28" s="41">
        <f t="shared" si="7"/>
        <v>5053.8978530329987</v>
      </c>
      <c r="V28" s="113"/>
      <c r="W28" s="407">
        <v>67112.379981880833</v>
      </c>
      <c r="X28" s="407">
        <v>1183.23</v>
      </c>
      <c r="Y28" s="41">
        <f t="shared" si="8"/>
        <v>68295.609981880829</v>
      </c>
    </row>
    <row r="29" spans="1:28">
      <c r="A29" s="124" t="s">
        <v>21</v>
      </c>
      <c r="B29" s="113"/>
      <c r="C29" s="98"/>
      <c r="D29" s="98"/>
      <c r="E29" s="41"/>
      <c r="F29" s="113"/>
      <c r="G29" s="98"/>
      <c r="H29" s="98"/>
      <c r="I29" s="41"/>
      <c r="J29" s="408"/>
      <c r="K29" s="98"/>
      <c r="L29" s="98"/>
      <c r="M29" s="41"/>
      <c r="N29" s="408">
        <v>68150.567841889278</v>
      </c>
      <c r="O29" s="407">
        <v>39155.138489267243</v>
      </c>
      <c r="P29" s="407">
        <v>1057.71</v>
      </c>
      <c r="Q29" s="41">
        <f t="shared" si="3"/>
        <v>108363.41633115652</v>
      </c>
      <c r="R29" s="113"/>
      <c r="S29" s="407">
        <v>3870.6678530329991</v>
      </c>
      <c r="T29" s="407">
        <v>1183.23</v>
      </c>
      <c r="U29" s="41">
        <f t="shared" si="7"/>
        <v>5053.8978530329987</v>
      </c>
      <c r="V29" s="113"/>
      <c r="W29" s="407">
        <v>67112.379981880833</v>
      </c>
      <c r="X29" s="407">
        <v>1183.23</v>
      </c>
      <c r="Y29" s="41">
        <f t="shared" si="8"/>
        <v>68295.609981880829</v>
      </c>
    </row>
    <row r="30" spans="1:28">
      <c r="A30" s="124" t="s">
        <v>22</v>
      </c>
      <c r="B30" s="113"/>
      <c r="C30" s="98"/>
      <c r="D30" s="98"/>
      <c r="E30" s="41"/>
      <c r="F30" s="113"/>
      <c r="G30" s="98"/>
      <c r="H30" s="98"/>
      <c r="I30" s="41"/>
      <c r="J30" s="408"/>
      <c r="K30" s="98"/>
      <c r="L30" s="98"/>
      <c r="M30" s="41"/>
      <c r="N30" s="408">
        <v>68150.567841889278</v>
      </c>
      <c r="O30" s="407">
        <v>46986.166187120689</v>
      </c>
      <c r="P30" s="407">
        <v>1057.71</v>
      </c>
      <c r="Q30" s="41">
        <f t="shared" si="3"/>
        <v>116194.44402900997</v>
      </c>
      <c r="R30" s="113"/>
      <c r="S30" s="407">
        <v>3870.6678530329991</v>
      </c>
      <c r="T30" s="407">
        <v>1183.23</v>
      </c>
      <c r="U30" s="41">
        <f t="shared" si="7"/>
        <v>5053.8978530329987</v>
      </c>
      <c r="V30" s="113"/>
      <c r="W30" s="407">
        <v>67112.379981880833</v>
      </c>
      <c r="X30" s="407">
        <v>1183.23</v>
      </c>
      <c r="Y30" s="41">
        <f t="shared" si="8"/>
        <v>68295.609981880829</v>
      </c>
    </row>
    <row r="31" spans="1:28">
      <c r="A31" s="124" t="s">
        <v>23</v>
      </c>
      <c r="B31" s="113"/>
      <c r="C31" s="98"/>
      <c r="D31" s="98"/>
      <c r="E31" s="41"/>
      <c r="F31" s="113"/>
      <c r="G31" s="98"/>
      <c r="H31" s="98"/>
      <c r="I31" s="41"/>
      <c r="J31" s="113"/>
      <c r="K31" s="98"/>
      <c r="L31" s="98"/>
      <c r="M31" s="41"/>
      <c r="N31" s="408">
        <v>68150.567841889278</v>
      </c>
      <c r="O31" s="407">
        <v>46986.166187120689</v>
      </c>
      <c r="P31" s="407">
        <v>1057.71</v>
      </c>
      <c r="Q31" s="41">
        <f t="shared" si="3"/>
        <v>116194.44402900997</v>
      </c>
      <c r="R31" s="113"/>
      <c r="S31" s="407">
        <v>9612.4995222080215</v>
      </c>
      <c r="T31" s="407">
        <v>1183.23</v>
      </c>
      <c r="U31" s="41">
        <f t="shared" si="7"/>
        <v>10795.729522208021</v>
      </c>
      <c r="V31" s="113"/>
      <c r="W31" s="407">
        <v>166668.32314339961</v>
      </c>
      <c r="X31" s="407">
        <v>1183.23</v>
      </c>
      <c r="Y31" s="41">
        <f t="shared" si="8"/>
        <v>167851.55314339962</v>
      </c>
    </row>
    <row r="32" spans="1:28">
      <c r="A32" s="124" t="s">
        <v>24</v>
      </c>
      <c r="B32" s="113"/>
      <c r="C32" s="98"/>
      <c r="D32" s="98"/>
      <c r="E32" s="41"/>
      <c r="F32" s="113"/>
      <c r="G32" s="98"/>
      <c r="H32" s="98"/>
      <c r="I32" s="41"/>
      <c r="J32" s="113"/>
      <c r="K32" s="98"/>
      <c r="L32" s="98"/>
      <c r="M32" s="41"/>
      <c r="N32" s="408">
        <v>68150.567841889278</v>
      </c>
      <c r="O32" s="407">
        <v>46986.166187120689</v>
      </c>
      <c r="P32" s="407">
        <v>1057.71</v>
      </c>
      <c r="Q32" s="41">
        <f t="shared" si="3"/>
        <v>116194.44402900997</v>
      </c>
      <c r="R32" s="113"/>
      <c r="S32" s="407">
        <v>9612.4995222080215</v>
      </c>
      <c r="T32" s="407">
        <v>1183.23</v>
      </c>
      <c r="U32" s="41">
        <f t="shared" si="7"/>
        <v>10795.729522208021</v>
      </c>
      <c r="V32" s="113"/>
      <c r="W32" s="407">
        <v>166668.32314339961</v>
      </c>
      <c r="X32" s="407">
        <v>1183.23</v>
      </c>
      <c r="Y32" s="41">
        <f t="shared" si="8"/>
        <v>167851.55314339962</v>
      </c>
      <c r="AB32" s="31"/>
    </row>
    <row r="33" spans="1:25">
      <c r="A33" s="124" t="s">
        <v>25</v>
      </c>
      <c r="B33" s="113"/>
      <c r="C33" s="98"/>
      <c r="D33" s="98"/>
      <c r="E33" s="41"/>
      <c r="F33" s="113"/>
      <c r="G33" s="98"/>
      <c r="H33" s="98"/>
      <c r="I33" s="41"/>
      <c r="J33" s="113"/>
      <c r="K33" s="98"/>
      <c r="L33" s="98"/>
      <c r="M33" s="41"/>
      <c r="N33" s="408">
        <v>68150.567841889278</v>
      </c>
      <c r="O33" s="407">
        <v>46986.166187120689</v>
      </c>
      <c r="P33" s="407">
        <v>1057.71</v>
      </c>
      <c r="Q33" s="41">
        <f t="shared" si="3"/>
        <v>116194.44402900997</v>
      </c>
      <c r="R33" s="113"/>
      <c r="S33" s="407">
        <v>9612.4995222080215</v>
      </c>
      <c r="T33" s="407">
        <v>1183.23</v>
      </c>
      <c r="U33" s="41">
        <f t="shared" si="7"/>
        <v>10795.729522208021</v>
      </c>
      <c r="V33" s="113"/>
      <c r="W33" s="407">
        <v>166668.32314339961</v>
      </c>
      <c r="X33" s="407">
        <v>1183.23</v>
      </c>
      <c r="Y33" s="41">
        <f t="shared" si="8"/>
        <v>167851.55314339962</v>
      </c>
    </row>
    <row r="34" spans="1:25">
      <c r="A34" s="124" t="s">
        <v>111</v>
      </c>
      <c r="B34" s="113"/>
      <c r="C34" s="98"/>
      <c r="D34" s="98"/>
      <c r="E34" s="41"/>
      <c r="F34" s="113"/>
      <c r="G34" s="98"/>
      <c r="H34" s="98"/>
      <c r="I34" s="41"/>
      <c r="J34" s="109"/>
      <c r="K34" s="23"/>
      <c r="L34" s="23"/>
      <c r="M34" s="41"/>
      <c r="N34" s="408">
        <v>68150.567841889278</v>
      </c>
      <c r="O34" s="407">
        <v>46986.166187120689</v>
      </c>
      <c r="P34" s="407">
        <v>1057.71</v>
      </c>
      <c r="Q34" s="41">
        <f t="shared" si="3"/>
        <v>116194.44402900997</v>
      </c>
      <c r="R34" s="113"/>
      <c r="S34" s="407">
        <v>9612.4995222080215</v>
      </c>
      <c r="T34" s="407">
        <v>1183.23</v>
      </c>
      <c r="U34" s="41">
        <f t="shared" si="7"/>
        <v>10795.729522208021</v>
      </c>
      <c r="V34" s="113"/>
      <c r="W34" s="407">
        <v>166668.32314339961</v>
      </c>
      <c r="X34" s="407">
        <v>1183.23</v>
      </c>
      <c r="Y34" s="41">
        <f t="shared" si="8"/>
        <v>167851.55314339962</v>
      </c>
    </row>
    <row r="35" spans="1:25">
      <c r="A35" s="124" t="s">
        <v>112</v>
      </c>
      <c r="B35" s="113"/>
      <c r="C35" s="98"/>
      <c r="D35" s="23"/>
      <c r="E35" s="41"/>
      <c r="F35" s="113"/>
      <c r="G35" s="98"/>
      <c r="H35" s="98"/>
      <c r="I35" s="41"/>
      <c r="J35" s="109"/>
      <c r="K35" s="23"/>
      <c r="L35" s="23"/>
      <c r="M35" s="41"/>
      <c r="N35" s="408"/>
      <c r="O35" s="98"/>
      <c r="P35" s="23"/>
      <c r="Q35" s="14"/>
      <c r="R35" s="113"/>
      <c r="S35" s="407">
        <v>9612.4995222080215</v>
      </c>
      <c r="T35" s="407">
        <v>1183.23</v>
      </c>
      <c r="U35" s="41">
        <f t="shared" si="7"/>
        <v>10795.729522208021</v>
      </c>
      <c r="V35" s="113"/>
      <c r="W35" s="407">
        <v>166668.32314339961</v>
      </c>
      <c r="X35" s="407">
        <v>1183.23</v>
      </c>
      <c r="Y35" s="41">
        <f t="shared" si="8"/>
        <v>167851.55314339962</v>
      </c>
    </row>
    <row r="36" spans="1:25">
      <c r="A36" s="124" t="s">
        <v>26</v>
      </c>
      <c r="B36" s="113"/>
      <c r="C36" s="98"/>
      <c r="D36" s="23"/>
      <c r="E36" s="41"/>
      <c r="F36" s="113"/>
      <c r="G36" s="98"/>
      <c r="H36" s="98"/>
      <c r="I36" s="41"/>
      <c r="J36" s="109"/>
      <c r="K36" s="23"/>
      <c r="L36" s="23"/>
      <c r="M36" s="41"/>
      <c r="N36" s="408"/>
      <c r="O36" s="98"/>
      <c r="P36" s="23"/>
      <c r="Q36" s="14"/>
      <c r="R36" s="113"/>
      <c r="S36" s="407">
        <v>9612.4995222080215</v>
      </c>
      <c r="T36" s="407">
        <v>1183.23</v>
      </c>
      <c r="U36" s="41">
        <f t="shared" si="7"/>
        <v>10795.729522208021</v>
      </c>
      <c r="V36" s="113"/>
      <c r="W36" s="407">
        <v>166668.32314339961</v>
      </c>
      <c r="X36" s="407">
        <v>1183.23</v>
      </c>
      <c r="Y36" s="41">
        <f t="shared" si="8"/>
        <v>167851.55314339962</v>
      </c>
    </row>
    <row r="37" spans="1:25">
      <c r="A37" s="124" t="s">
        <v>27</v>
      </c>
      <c r="B37" s="113"/>
      <c r="C37" s="98"/>
      <c r="D37" s="13"/>
      <c r="E37" s="14"/>
      <c r="F37" s="113"/>
      <c r="G37" s="98"/>
      <c r="H37" s="98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407">
        <v>9612.4995222080215</v>
      </c>
      <c r="T37" s="407">
        <v>1183.23</v>
      </c>
      <c r="U37" s="41">
        <f t="shared" si="7"/>
        <v>10795.729522208021</v>
      </c>
      <c r="V37" s="113"/>
      <c r="W37" s="407">
        <v>166668.32314339961</v>
      </c>
      <c r="X37" s="407">
        <v>1183.23</v>
      </c>
      <c r="Y37" s="41">
        <f t="shared" si="8"/>
        <v>167851.55314339962</v>
      </c>
    </row>
    <row r="38" spans="1:25" ht="13.5" thickBot="1">
      <c r="A38" s="179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5"/>
      <c r="O38" s="206"/>
      <c r="P38" s="28"/>
      <c r="Q38" s="80"/>
      <c r="R38" s="205"/>
      <c r="S38" s="206"/>
      <c r="T38" s="28"/>
      <c r="U38" s="80"/>
      <c r="V38" s="205"/>
      <c r="W38" s="206"/>
      <c r="X38" s="28"/>
      <c r="Y38" s="80"/>
    </row>
    <row r="39" spans="1:25">
      <c r="A39" s="121"/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420"/>
    </row>
    <row r="40" spans="1:25">
      <c r="A40" s="29" t="s">
        <v>376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76"/>
    </row>
    <row r="41" spans="1:25">
      <c r="A41" s="29"/>
      <c r="B41" s="439" t="s">
        <v>359</v>
      </c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2"/>
      <c r="W41" s="184"/>
      <c r="X41" s="184"/>
      <c r="Y41" s="440"/>
    </row>
    <row r="42" spans="1:25" ht="13.5" thickBot="1">
      <c r="A42" s="15"/>
      <c r="B42" s="438" t="s">
        <v>306</v>
      </c>
      <c r="C42" s="428"/>
      <c r="D42" s="428"/>
      <c r="E42" s="428"/>
      <c r="F42" s="428"/>
      <c r="G42" s="428"/>
      <c r="H42" s="428"/>
      <c r="I42" s="428"/>
      <c r="J42" s="428"/>
      <c r="K42" s="428"/>
      <c r="L42" s="428"/>
      <c r="M42" s="428"/>
      <c r="N42" s="428"/>
      <c r="O42" s="428"/>
      <c r="P42" s="428"/>
      <c r="Q42" s="428"/>
      <c r="R42" s="428"/>
      <c r="S42" s="428"/>
      <c r="T42" s="428"/>
      <c r="U42" s="428"/>
      <c r="V42" s="28"/>
      <c r="W42" s="428"/>
      <c r="X42" s="428"/>
      <c r="Y42" s="431"/>
    </row>
    <row r="43" spans="1:25">
      <c r="B43" s="399"/>
      <c r="C43" s="399"/>
      <c r="D43" s="399"/>
      <c r="E43" s="399"/>
      <c r="F43" s="399"/>
      <c r="G43" s="399"/>
      <c r="H43" s="399"/>
      <c r="I43" s="399"/>
      <c r="J43" s="399"/>
      <c r="K43" s="399"/>
      <c r="L43" s="399"/>
      <c r="M43" s="399"/>
      <c r="N43" s="399"/>
      <c r="O43" s="399"/>
      <c r="P43" s="399"/>
      <c r="Q43" s="399"/>
      <c r="R43" s="399"/>
      <c r="S43" s="399"/>
      <c r="T43" s="399"/>
      <c r="U43" s="399"/>
      <c r="W43" s="399"/>
      <c r="X43" s="399"/>
      <c r="Y43" s="399"/>
    </row>
    <row r="44" spans="1:25">
      <c r="B44" s="399"/>
      <c r="C44" s="399"/>
      <c r="D44" s="399"/>
      <c r="E44" s="399"/>
      <c r="F44" s="399"/>
      <c r="G44" s="399"/>
      <c r="H44" s="399"/>
      <c r="I44" s="399"/>
      <c r="J44" s="399"/>
      <c r="K44" s="399"/>
      <c r="L44" s="399"/>
      <c r="M44" s="399"/>
      <c r="N44" s="399"/>
      <c r="O44" s="399"/>
      <c r="P44" s="399"/>
      <c r="Q44" s="399"/>
      <c r="R44" s="399"/>
      <c r="S44" s="399"/>
      <c r="T44" s="399"/>
      <c r="U44" s="399"/>
      <c r="W44" s="399"/>
      <c r="X44" s="399"/>
      <c r="Y44" s="399"/>
    </row>
    <row r="45" spans="1:25">
      <c r="B45" s="399"/>
      <c r="C45" s="399"/>
      <c r="D45" s="399"/>
      <c r="E45" s="399"/>
      <c r="F45" s="399"/>
      <c r="G45" s="399"/>
      <c r="H45" s="399"/>
      <c r="I45" s="399"/>
      <c r="J45" s="399"/>
      <c r="K45" s="399"/>
      <c r="L45" s="399"/>
      <c r="M45" s="399"/>
      <c r="N45" s="399"/>
      <c r="O45" s="399"/>
      <c r="P45" s="399"/>
      <c r="Q45" s="399"/>
      <c r="R45" s="399"/>
      <c r="S45" s="399"/>
      <c r="T45" s="399"/>
      <c r="U45" s="399"/>
      <c r="W45" s="399"/>
      <c r="X45" s="399"/>
      <c r="Y45" s="399"/>
    </row>
    <row r="46" spans="1:25">
      <c r="B46" s="399"/>
      <c r="C46" s="399"/>
      <c r="D46" s="399"/>
      <c r="E46" s="399"/>
      <c r="F46" s="399"/>
      <c r="G46" s="399"/>
      <c r="H46" s="399"/>
      <c r="I46" s="399"/>
      <c r="J46" s="399"/>
      <c r="K46" s="399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W46" s="399"/>
      <c r="X46" s="399"/>
      <c r="Y46" s="399"/>
    </row>
    <row r="47" spans="1:25" ht="15.75">
      <c r="B47" s="399"/>
      <c r="C47" s="399"/>
      <c r="D47" s="409"/>
      <c r="E47" s="399"/>
      <c r="F47" s="399"/>
      <c r="G47" s="399"/>
      <c r="H47" s="399"/>
      <c r="I47" s="399"/>
      <c r="J47" s="399"/>
      <c r="K47" s="399"/>
      <c r="L47" s="399"/>
      <c r="M47" s="399"/>
      <c r="N47" s="399"/>
      <c r="O47" s="399"/>
      <c r="P47" s="399"/>
      <c r="Q47" s="399"/>
      <c r="R47" s="399"/>
      <c r="S47" s="399"/>
      <c r="T47" s="399"/>
      <c r="U47" s="399"/>
      <c r="W47" s="399"/>
      <c r="X47" s="399"/>
      <c r="Y47" s="399"/>
    </row>
    <row r="48" spans="1:25">
      <c r="B48" s="399"/>
      <c r="C48" s="399"/>
      <c r="D48" s="399"/>
      <c r="E48" s="399"/>
      <c r="F48" s="399"/>
      <c r="G48" s="399"/>
      <c r="H48" s="399"/>
      <c r="I48" s="399"/>
      <c r="J48" s="399"/>
      <c r="K48" s="399"/>
      <c r="L48" s="399"/>
      <c r="M48" s="399"/>
      <c r="N48" s="399"/>
      <c r="O48" s="399"/>
      <c r="P48" s="399"/>
      <c r="Q48" s="399"/>
      <c r="R48" s="399"/>
      <c r="S48" s="399"/>
      <c r="T48" s="399"/>
      <c r="U48" s="399"/>
      <c r="W48" s="399"/>
      <c r="X48" s="399"/>
      <c r="Y48" s="399"/>
    </row>
    <row r="49" spans="2:25">
      <c r="B49" s="399"/>
      <c r="C49" s="399"/>
      <c r="D49" s="399"/>
      <c r="E49" s="399"/>
      <c r="F49" s="399"/>
      <c r="G49" s="399"/>
      <c r="H49" s="399"/>
      <c r="I49" s="399"/>
      <c r="J49" s="399"/>
      <c r="K49" s="399"/>
      <c r="L49" s="399"/>
      <c r="M49" s="399"/>
      <c r="N49" s="399"/>
      <c r="O49" s="399"/>
      <c r="P49" s="399"/>
      <c r="Q49" s="399"/>
      <c r="R49" s="399"/>
      <c r="S49" s="399"/>
      <c r="T49" s="399"/>
      <c r="U49" s="399"/>
      <c r="W49" s="399"/>
      <c r="X49" s="399"/>
      <c r="Y49" s="399"/>
    </row>
    <row r="50" spans="2:25">
      <c r="E50" s="398"/>
      <c r="F50" s="399"/>
      <c r="G50" s="399"/>
      <c r="H50" s="399"/>
      <c r="I50" s="399"/>
      <c r="J50" s="399"/>
      <c r="K50" s="399"/>
      <c r="L50" s="399"/>
      <c r="M50" s="399"/>
      <c r="N50" s="399"/>
      <c r="O50" s="399"/>
      <c r="P50" s="399"/>
      <c r="Q50" s="399"/>
      <c r="R50" s="399"/>
      <c r="S50" s="399"/>
      <c r="T50" s="399"/>
      <c r="U50" s="399"/>
      <c r="W50" s="399"/>
      <c r="X50" s="399"/>
      <c r="Y50" s="399"/>
    </row>
    <row r="51" spans="2:25">
      <c r="E51" s="398"/>
      <c r="F51" s="399"/>
      <c r="G51" s="399"/>
      <c r="H51" s="399"/>
      <c r="I51" s="399"/>
      <c r="J51" s="399"/>
      <c r="K51" s="399"/>
      <c r="L51" s="399"/>
      <c r="M51" s="399"/>
      <c r="N51" s="399"/>
      <c r="O51" s="399"/>
      <c r="P51" s="399"/>
      <c r="Q51" s="399"/>
      <c r="R51" s="399"/>
      <c r="S51" s="399"/>
      <c r="T51" s="399"/>
      <c r="U51" s="399"/>
      <c r="W51" s="399"/>
      <c r="X51" s="399"/>
      <c r="Y51" s="399"/>
    </row>
    <row r="52" spans="2:25">
      <c r="I52" s="398"/>
      <c r="J52" s="399"/>
      <c r="K52" s="399"/>
      <c r="L52" s="399"/>
      <c r="M52" s="399"/>
      <c r="N52" s="399"/>
      <c r="O52" s="399"/>
      <c r="P52" s="399"/>
      <c r="Q52" s="399"/>
      <c r="R52" s="399"/>
      <c r="S52" s="399"/>
      <c r="T52" s="399"/>
      <c r="U52" s="399"/>
      <c r="W52" s="399"/>
      <c r="X52" s="399"/>
      <c r="Y52" s="399"/>
    </row>
    <row r="53" spans="2:25">
      <c r="I53" s="398"/>
      <c r="J53" s="399"/>
      <c r="K53" s="399"/>
      <c r="L53" s="399"/>
      <c r="M53" s="399"/>
      <c r="N53" s="399"/>
      <c r="O53" s="399"/>
      <c r="P53" s="399"/>
      <c r="Q53" s="399"/>
      <c r="R53" s="399"/>
      <c r="S53" s="399"/>
      <c r="T53" s="399"/>
      <c r="U53" s="399"/>
      <c r="W53" s="399"/>
      <c r="X53" s="399"/>
      <c r="Y53" s="399"/>
    </row>
    <row r="54" spans="2:25">
      <c r="I54" s="398"/>
      <c r="J54" s="399"/>
      <c r="K54" s="399"/>
      <c r="L54" s="399"/>
      <c r="M54" s="399"/>
      <c r="N54" s="399"/>
      <c r="O54" s="399"/>
      <c r="P54" s="399"/>
      <c r="Q54" s="399"/>
      <c r="R54" s="399"/>
      <c r="S54" s="399"/>
      <c r="T54" s="399"/>
      <c r="U54" s="399"/>
      <c r="W54" s="399"/>
      <c r="X54" s="399"/>
      <c r="Y54" s="399"/>
    </row>
    <row r="55" spans="2:25">
      <c r="I55" s="398"/>
      <c r="J55" s="399"/>
      <c r="K55" s="399"/>
      <c r="L55" s="399"/>
      <c r="M55" s="399"/>
      <c r="N55" s="399"/>
      <c r="O55" s="399"/>
      <c r="P55" s="399"/>
      <c r="Q55" s="399"/>
      <c r="R55" s="399"/>
      <c r="S55" s="399"/>
      <c r="T55" s="399"/>
      <c r="U55" s="399"/>
      <c r="W55" s="399"/>
      <c r="X55" s="399"/>
      <c r="Y55" s="399"/>
    </row>
    <row r="56" spans="2:25">
      <c r="I56" s="398"/>
      <c r="J56" s="399"/>
      <c r="K56" s="399"/>
      <c r="L56" s="399"/>
      <c r="M56" s="399"/>
      <c r="N56" s="399"/>
      <c r="O56" s="399"/>
      <c r="P56" s="399"/>
      <c r="Q56" s="399"/>
      <c r="R56" s="399"/>
      <c r="S56" s="399"/>
      <c r="T56" s="399"/>
      <c r="U56" s="399"/>
      <c r="W56" s="399"/>
      <c r="X56" s="399"/>
      <c r="Y56" s="399"/>
    </row>
    <row r="57" spans="2:25">
      <c r="I57" s="398"/>
      <c r="J57" s="399"/>
      <c r="K57" s="399"/>
      <c r="L57" s="399"/>
      <c r="M57" s="399"/>
      <c r="N57" s="399"/>
      <c r="O57" s="399"/>
      <c r="P57" s="399"/>
      <c r="Q57" s="399"/>
      <c r="R57" s="399"/>
      <c r="S57" s="399"/>
      <c r="T57" s="399"/>
      <c r="U57" s="399"/>
      <c r="W57" s="399"/>
      <c r="X57" s="399"/>
      <c r="Y57" s="399"/>
    </row>
    <row r="58" spans="2:25">
      <c r="I58" s="398"/>
      <c r="J58" s="399"/>
      <c r="K58" s="399"/>
      <c r="L58" s="399"/>
      <c r="M58" s="399"/>
      <c r="N58" s="399"/>
      <c r="O58" s="399"/>
      <c r="P58" s="399"/>
      <c r="Q58" s="399"/>
      <c r="R58" s="399"/>
      <c r="S58" s="399"/>
      <c r="T58" s="399"/>
      <c r="U58" s="399"/>
      <c r="W58" s="399"/>
      <c r="X58" s="399"/>
      <c r="Y58" s="399"/>
    </row>
    <row r="59" spans="2:25">
      <c r="I59" s="398"/>
      <c r="J59" s="399"/>
      <c r="K59" s="399"/>
      <c r="L59" s="399"/>
      <c r="M59" s="399"/>
      <c r="N59" s="399"/>
      <c r="O59" s="399"/>
      <c r="P59" s="399"/>
      <c r="Q59" s="399"/>
      <c r="R59" s="399"/>
      <c r="S59" s="399"/>
      <c r="T59" s="399"/>
      <c r="U59" s="399"/>
      <c r="W59" s="399"/>
      <c r="X59" s="399"/>
      <c r="Y59" s="399"/>
    </row>
    <row r="60" spans="2:25">
      <c r="I60" s="398"/>
      <c r="J60" s="399"/>
      <c r="K60" s="399"/>
      <c r="L60" s="399"/>
      <c r="M60" s="399"/>
      <c r="N60" s="399"/>
      <c r="O60" s="399"/>
      <c r="P60" s="399"/>
      <c r="Q60" s="399"/>
      <c r="R60" s="399"/>
      <c r="S60" s="399"/>
      <c r="T60" s="399"/>
      <c r="U60" s="399"/>
      <c r="W60" s="399"/>
      <c r="X60" s="399"/>
      <c r="Y60" s="399"/>
    </row>
    <row r="61" spans="2:25">
      <c r="J61" s="399"/>
      <c r="K61" s="399"/>
      <c r="L61" s="399"/>
      <c r="M61" s="399"/>
      <c r="N61" s="399"/>
      <c r="O61" s="399"/>
      <c r="P61" s="399"/>
      <c r="Q61" s="399"/>
      <c r="R61" s="399"/>
      <c r="S61" s="399"/>
      <c r="T61" s="399"/>
      <c r="U61" s="399"/>
      <c r="W61" s="399"/>
      <c r="X61" s="399"/>
      <c r="Y61" s="399"/>
    </row>
    <row r="62" spans="2:25">
      <c r="J62" s="399"/>
      <c r="K62" s="399"/>
      <c r="L62" s="399"/>
      <c r="M62" s="399"/>
      <c r="N62" s="399"/>
      <c r="O62" s="399"/>
      <c r="P62" s="399"/>
      <c r="Q62" s="399"/>
      <c r="R62" s="399"/>
      <c r="S62" s="399"/>
      <c r="T62" s="399"/>
      <c r="U62" s="399"/>
      <c r="W62" s="399"/>
      <c r="X62" s="399"/>
      <c r="Y62" s="399"/>
    </row>
    <row r="63" spans="2:25">
      <c r="M63" s="398"/>
      <c r="N63" s="399"/>
      <c r="O63" s="399"/>
      <c r="P63" s="399"/>
      <c r="Q63" s="399"/>
      <c r="R63" s="399"/>
      <c r="S63" s="399"/>
      <c r="T63" s="399"/>
      <c r="U63" s="399"/>
      <c r="W63" s="399"/>
      <c r="X63" s="399"/>
      <c r="Y63" s="399"/>
    </row>
    <row r="64" spans="2:25">
      <c r="M64" s="398"/>
      <c r="Q64" s="398"/>
      <c r="R64" s="399"/>
      <c r="S64" s="399"/>
      <c r="T64" s="399"/>
      <c r="U64" s="399"/>
      <c r="W64" s="399"/>
      <c r="X64" s="399"/>
      <c r="Y64" s="399"/>
    </row>
    <row r="65" spans="17:25">
      <c r="Q65" s="398"/>
      <c r="R65" s="399"/>
      <c r="S65" s="399"/>
      <c r="T65" s="399"/>
      <c r="U65" s="399"/>
      <c r="W65" s="399"/>
      <c r="X65" s="399"/>
      <c r="Y65" s="399"/>
    </row>
    <row r="66" spans="17:25">
      <c r="Q66" s="398"/>
      <c r="R66" s="399"/>
      <c r="S66" s="399"/>
      <c r="T66" s="399"/>
      <c r="U66" s="399"/>
      <c r="W66" s="399"/>
      <c r="X66" s="399"/>
      <c r="Y66" s="399"/>
    </row>
    <row r="67" spans="17:25">
      <c r="R67" s="399"/>
      <c r="S67" s="399"/>
      <c r="T67" s="399"/>
      <c r="U67" s="399"/>
      <c r="W67" s="399"/>
      <c r="X67" s="399"/>
      <c r="Y67" s="399"/>
    </row>
    <row r="68" spans="17:25">
      <c r="R68" s="399"/>
      <c r="S68" s="399"/>
      <c r="T68" s="399"/>
      <c r="U68" s="399"/>
      <c r="W68" s="399"/>
      <c r="X68" s="399"/>
      <c r="Y68" s="399"/>
    </row>
    <row r="69" spans="17:25">
      <c r="R69" s="399"/>
      <c r="S69" s="399"/>
      <c r="T69" s="399"/>
      <c r="U69" s="399"/>
      <c r="W69" s="399"/>
      <c r="X69" s="399"/>
      <c r="Y69" s="399"/>
    </row>
    <row r="70" spans="17:25">
      <c r="R70" s="399"/>
      <c r="S70" s="399"/>
      <c r="T70" s="399"/>
      <c r="U70" s="399"/>
      <c r="W70" s="399"/>
      <c r="X70" s="399"/>
      <c r="Y70" s="399"/>
    </row>
    <row r="71" spans="17:25">
      <c r="R71" s="399"/>
      <c r="S71" s="399"/>
      <c r="T71" s="399"/>
      <c r="U71" s="399"/>
      <c r="W71" s="399"/>
      <c r="X71" s="399"/>
      <c r="Y71" s="399"/>
    </row>
    <row r="72" spans="17:25">
      <c r="U72" s="398"/>
    </row>
    <row r="73" spans="17:25">
      <c r="U73" s="398"/>
    </row>
  </sheetData>
  <mergeCells count="10">
    <mergeCell ref="A1:Y1"/>
    <mergeCell ref="B2:Q2"/>
    <mergeCell ref="R2:U2"/>
    <mergeCell ref="V2:Y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Sheet65">
    <tabColor rgb="FF333333"/>
  </sheetPr>
  <dimension ref="A1:AB73"/>
  <sheetViews>
    <sheetView topLeftCell="A11" zoomScaleNormal="100" workbookViewId="0">
      <pane xSplit="1" topLeftCell="K1" activePane="topRight" state="frozen"/>
      <selection activeCell="D15" sqref="D15"/>
      <selection pane="topRight" activeCell="X7" sqref="X7:X37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  <col min="22" max="22" width="12.85546875" bestFit="1" customWidth="1"/>
    <col min="23" max="23" width="11.28515625" bestFit="1" customWidth="1"/>
    <col min="24" max="24" width="7.28515625" bestFit="1" customWidth="1"/>
    <col min="25" max="25" width="8.7109375" bestFit="1" customWidth="1"/>
    <col min="28" max="28" width="11.28515625" bestFit="1" customWidth="1"/>
  </cols>
  <sheetData>
    <row r="1" spans="1:28" ht="18.75" thickBot="1">
      <c r="A1" s="764" t="s">
        <v>203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  <c r="N1" s="741"/>
      <c r="O1" s="741"/>
      <c r="P1" s="741"/>
      <c r="Q1" s="741"/>
      <c r="R1" s="741"/>
      <c r="S1" s="741"/>
      <c r="T1" s="741"/>
      <c r="U1" s="741"/>
      <c r="V1" s="741"/>
      <c r="W1" s="741"/>
      <c r="X1" s="741"/>
      <c r="Y1" s="741"/>
    </row>
    <row r="2" spans="1:28" ht="13.5" thickBot="1">
      <c r="A2" s="103"/>
      <c r="B2" s="749" t="s">
        <v>0</v>
      </c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51"/>
      <c r="S2" s="745"/>
      <c r="T2" s="745"/>
      <c r="U2" s="746"/>
      <c r="V2" s="751"/>
      <c r="W2" s="745"/>
      <c r="X2" s="745"/>
      <c r="Y2" s="746"/>
    </row>
    <row r="3" spans="1:28" ht="13.5" thickBot="1">
      <c r="A3" s="163"/>
      <c r="B3" s="749" t="s">
        <v>113</v>
      </c>
      <c r="C3" s="750"/>
      <c r="D3" s="750"/>
      <c r="E3" s="752"/>
      <c r="F3" s="749" t="s">
        <v>100</v>
      </c>
      <c r="G3" s="750"/>
      <c r="H3" s="750"/>
      <c r="I3" s="752"/>
      <c r="J3" s="749" t="s">
        <v>33</v>
      </c>
      <c r="K3" s="750"/>
      <c r="L3" s="750"/>
      <c r="M3" s="752"/>
      <c r="N3" s="742" t="s">
        <v>34</v>
      </c>
      <c r="O3" s="743"/>
      <c r="P3" s="743"/>
      <c r="Q3" s="743"/>
      <c r="R3" s="753" t="s">
        <v>1</v>
      </c>
      <c r="S3" s="754"/>
      <c r="T3" s="754"/>
      <c r="U3" s="755"/>
      <c r="V3" s="753" t="s">
        <v>87</v>
      </c>
      <c r="W3" s="754"/>
      <c r="X3" s="754"/>
      <c r="Y3" s="755"/>
    </row>
    <row r="4" spans="1:28" ht="13.5" thickBot="1">
      <c r="A4" s="77" t="s">
        <v>4</v>
      </c>
      <c r="B4" s="2" t="s">
        <v>36</v>
      </c>
      <c r="C4" s="3" t="s">
        <v>37</v>
      </c>
      <c r="D4" s="3" t="s">
        <v>38</v>
      </c>
      <c r="E4" s="4" t="s">
        <v>2</v>
      </c>
      <c r="F4" s="2" t="s">
        <v>36</v>
      </c>
      <c r="G4" s="3" t="s">
        <v>37</v>
      </c>
      <c r="H4" s="3" t="s">
        <v>38</v>
      </c>
      <c r="I4" s="4" t="s">
        <v>2</v>
      </c>
      <c r="J4" s="2" t="s">
        <v>36</v>
      </c>
      <c r="K4" s="3" t="s">
        <v>37</v>
      </c>
      <c r="L4" s="3" t="s">
        <v>38</v>
      </c>
      <c r="M4" s="4" t="s">
        <v>2</v>
      </c>
      <c r="N4" s="2" t="s">
        <v>36</v>
      </c>
      <c r="O4" s="3" t="s">
        <v>37</v>
      </c>
      <c r="P4" s="3" t="s">
        <v>38</v>
      </c>
      <c r="Q4" s="4" t="s">
        <v>2</v>
      </c>
      <c r="R4" s="224" t="s">
        <v>36</v>
      </c>
      <c r="S4" s="225" t="s">
        <v>37</v>
      </c>
      <c r="T4" s="225" t="s">
        <v>38</v>
      </c>
      <c r="U4" s="4" t="s">
        <v>2</v>
      </c>
      <c r="V4" s="333" t="s">
        <v>36</v>
      </c>
      <c r="W4" s="334" t="s">
        <v>37</v>
      </c>
      <c r="X4" s="334" t="s">
        <v>38</v>
      </c>
      <c r="Y4" s="335" t="s">
        <v>2</v>
      </c>
    </row>
    <row r="5" spans="1:28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  <c r="V5" s="104" t="s">
        <v>44</v>
      </c>
      <c r="W5" s="6" t="s">
        <v>44</v>
      </c>
      <c r="X5" s="6" t="s">
        <v>44</v>
      </c>
      <c r="Y5" s="7" t="s">
        <v>44</v>
      </c>
    </row>
    <row r="6" spans="1:28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</row>
    <row r="7" spans="1:28">
      <c r="A7" s="124" t="s">
        <v>5</v>
      </c>
      <c r="B7" s="408">
        <f>'Non-Residential TSM UC'!B7*(Inputs!$C$21)</f>
        <v>291.03048556553597</v>
      </c>
      <c r="C7" s="407">
        <f>'Non-Residential TSM UC'!C7*(Inputs!$C$21)</f>
        <v>112.16712195266035</v>
      </c>
      <c r="D7" s="407">
        <f>'Non-Residential TSM UC'!D7*(Inputs!$C$21)</f>
        <v>231.00861885131383</v>
      </c>
      <c r="E7" s="41">
        <f>SUM(B7:D7)</f>
        <v>634.2062263695102</v>
      </c>
      <c r="F7" s="408">
        <f>'Non-Residential TSM UC'!F7*(Inputs!$C$21)</f>
        <v>336.13644267607185</v>
      </c>
      <c r="G7" s="407">
        <f>'Non-Residential TSM UC'!G7*(Inputs!$C$21)</f>
        <v>609.82032510065369</v>
      </c>
      <c r="H7" s="407">
        <f>'Non-Residential TSM UC'!H7*(Inputs!$C$21)</f>
        <v>297.01685728884092</v>
      </c>
      <c r="I7" s="41">
        <f>SUM(F7:H7)</f>
        <v>1242.9736250655665</v>
      </c>
      <c r="J7" s="408">
        <f>'Non-Residential TSM UC'!J7*(Inputs!$C$21)</f>
        <v>353.435592370667</v>
      </c>
      <c r="K7" s="407">
        <f>'Non-Residential TSM UC'!K7*(Inputs!$C$21)</f>
        <v>609.82032510065369</v>
      </c>
      <c r="L7" s="407">
        <f>'Non-Residential TSM UC'!L7*(Inputs!$C$21)</f>
        <v>297.01685728884092</v>
      </c>
      <c r="M7" s="41">
        <f>SUM(J7:L7)</f>
        <v>1260.2727747601616</v>
      </c>
      <c r="N7" s="408">
        <f>'Non-Residential TSM UC'!N7*(Inputs!$C$21)</f>
        <v>416.91391779598956</v>
      </c>
      <c r="O7" s="407">
        <f>'Non-Residential TSM UC'!O7*(Inputs!$C$21)</f>
        <v>609.82032510065369</v>
      </c>
      <c r="P7" s="407">
        <f>'Non-Residential TSM UC'!P7*(Inputs!$C$21)</f>
        <v>297.01685728884092</v>
      </c>
      <c r="Q7" s="41">
        <f>SUM(N7:P7)</f>
        <v>1323.7511001854841</v>
      </c>
      <c r="R7" s="113"/>
      <c r="S7" s="407">
        <f>'Non-Residential TSM UC'!S7*(Inputs!$C$21)</f>
        <v>3129.9273129422195</v>
      </c>
      <c r="T7" s="407">
        <f>'Non-Residential TSM UC'!T7*(Inputs!$C$21)</f>
        <v>855.2930770275243</v>
      </c>
      <c r="U7" s="41">
        <f>SUM(R7:T7)</f>
        <v>3985.2203899697438</v>
      </c>
      <c r="V7" s="113"/>
      <c r="W7" s="407">
        <f>'Non-Residential TSM UC'!W7*(Inputs!$C$21)</f>
        <v>54268.895993555212</v>
      </c>
      <c r="X7" s="407">
        <f>'Non-Residential TSM UC'!X7*(Inputs!$C$21)</f>
        <v>956.79196332763956</v>
      </c>
      <c r="Y7" s="41">
        <f>SUM(V7:X7)</f>
        <v>55225.687956882852</v>
      </c>
      <c r="AB7" s="31"/>
    </row>
    <row r="8" spans="1:28">
      <c r="A8" s="124" t="s">
        <v>6</v>
      </c>
      <c r="B8" s="408">
        <f>'Non-Residential TSM UC'!B8*(Inputs!$C$21)</f>
        <v>873.09145669660791</v>
      </c>
      <c r="C8" s="407">
        <f>'Non-Residential TSM UC'!C8*(Inputs!$C$21)</f>
        <v>112.16712195266035</v>
      </c>
      <c r="D8" s="407">
        <f>'Non-Residential TSM UC'!D8*(Inputs!$C$21)</f>
        <v>231.00861885131383</v>
      </c>
      <c r="E8" s="41">
        <f t="shared" ref="E8:E16" si="0">SUM(B8:D8)</f>
        <v>1216.2671975005819</v>
      </c>
      <c r="F8" s="408">
        <f>'Non-Residential TSM UC'!F8*(Inputs!$C$21)</f>
        <v>1008.4093280282156</v>
      </c>
      <c r="G8" s="407">
        <f>'Non-Residential TSM UC'!G8*(Inputs!$C$21)</f>
        <v>609.82032510065369</v>
      </c>
      <c r="H8" s="407">
        <f>'Non-Residential TSM UC'!H8*(Inputs!$C$21)</f>
        <v>297.01685728884092</v>
      </c>
      <c r="I8" s="41">
        <f t="shared" ref="I8:I17" si="1">SUM(F8:H8)</f>
        <v>1915.2465104177104</v>
      </c>
      <c r="J8" s="408">
        <f>'Non-Residential TSM UC'!J8*(Inputs!$C$21)</f>
        <v>1060.3067771120011</v>
      </c>
      <c r="K8" s="407">
        <f>'Non-Residential TSM UC'!K8*(Inputs!$C$21)</f>
        <v>609.82032510065369</v>
      </c>
      <c r="L8" s="407">
        <f>'Non-Residential TSM UC'!L8*(Inputs!$C$21)</f>
        <v>297.01685728884092</v>
      </c>
      <c r="M8" s="41">
        <f t="shared" ref="M8:M19" si="2">SUM(J8:L8)</f>
        <v>1967.1439595014958</v>
      </c>
      <c r="N8" s="408">
        <f>'Non-Residential TSM UC'!N8*(Inputs!$C$21)</f>
        <v>1250.7417533879686</v>
      </c>
      <c r="O8" s="407">
        <f>'Non-Residential TSM UC'!O8*(Inputs!$C$21)</f>
        <v>609.82032510065369</v>
      </c>
      <c r="P8" s="407">
        <f>'Non-Residential TSM UC'!P8*(Inputs!$C$21)</f>
        <v>297.01685728884092</v>
      </c>
      <c r="Q8" s="41">
        <f t="shared" ref="Q8:Q29" si="3">SUM(N8:P8)</f>
        <v>2157.5789357774634</v>
      </c>
      <c r="R8" s="113"/>
      <c r="S8" s="407">
        <f>'Non-Residential TSM UC'!S8*(Inputs!$C$21)</f>
        <v>3129.9273129422195</v>
      </c>
      <c r="T8" s="407">
        <f>'Non-Residential TSM UC'!T8*(Inputs!$C$21)</f>
        <v>855.2930770275243</v>
      </c>
      <c r="U8" s="41">
        <f t="shared" ref="U8:U19" si="4">SUM(R8:T8)</f>
        <v>3985.2203899697438</v>
      </c>
      <c r="V8" s="113"/>
      <c r="W8" s="407">
        <f>'Non-Residential TSM UC'!W8*(Inputs!$C$21)</f>
        <v>54268.895993555212</v>
      </c>
      <c r="X8" s="407">
        <f>'Non-Residential TSM UC'!X8*(Inputs!$C$21)</f>
        <v>956.79196332763956</v>
      </c>
      <c r="Y8" s="41">
        <f t="shared" ref="Y8:Y19" si="5">SUM(V8:X8)</f>
        <v>55225.687956882852</v>
      </c>
    </row>
    <row r="9" spans="1:28">
      <c r="A9" s="124" t="s">
        <v>7</v>
      </c>
      <c r="B9" s="408">
        <f>'Non-Residential TSM UC'!B9*(Inputs!$C$21)</f>
        <v>873.09145669660791</v>
      </c>
      <c r="C9" s="407">
        <f>'Non-Residential TSM UC'!C9*(Inputs!$C$21)</f>
        <v>158.10464377145311</v>
      </c>
      <c r="D9" s="407">
        <f>'Non-Residential TSM UC'!D9*(Inputs!$C$21)</f>
        <v>231.00861885131383</v>
      </c>
      <c r="E9" s="41">
        <f t="shared" si="0"/>
        <v>1262.2047193193748</v>
      </c>
      <c r="F9" s="408">
        <f>'Non-Residential TSM UC'!F9*(Inputs!$C$21)</f>
        <v>2016.8186560564311</v>
      </c>
      <c r="G9" s="407">
        <f>'Non-Residential TSM UC'!G9*(Inputs!$C$21)</f>
        <v>718.29191911453245</v>
      </c>
      <c r="H9" s="407">
        <f>'Non-Residential TSM UC'!H9*(Inputs!$C$21)</f>
        <v>297.01685728884092</v>
      </c>
      <c r="I9" s="41">
        <f t="shared" si="1"/>
        <v>3032.1274324598048</v>
      </c>
      <c r="J9" s="408">
        <f>'Non-Residential TSM UC'!J9*(Inputs!$C$21)</f>
        <v>2120.6135542240022</v>
      </c>
      <c r="K9" s="407">
        <f>'Non-Residential TSM UC'!K9*(Inputs!$C$21)</f>
        <v>718.29191911453245</v>
      </c>
      <c r="L9" s="407">
        <f>'Non-Residential TSM UC'!L9*(Inputs!$C$21)</f>
        <v>297.01685728884092</v>
      </c>
      <c r="M9" s="41">
        <f t="shared" si="2"/>
        <v>3135.9223306273757</v>
      </c>
      <c r="N9" s="408">
        <f>'Non-Residential TSM UC'!N9*(Inputs!$C$21)</f>
        <v>2501.4835067759373</v>
      </c>
      <c r="O9" s="407">
        <f>'Non-Residential TSM UC'!O9*(Inputs!$C$21)</f>
        <v>718.29191911453245</v>
      </c>
      <c r="P9" s="407">
        <f>'Non-Residential TSM UC'!P9*(Inputs!$C$21)</f>
        <v>297.01685728884092</v>
      </c>
      <c r="Q9" s="41">
        <f t="shared" si="3"/>
        <v>3516.7922831793107</v>
      </c>
      <c r="R9" s="113"/>
      <c r="S9" s="407">
        <f>'Non-Residential TSM UC'!S9*(Inputs!$C$21)</f>
        <v>3129.9273129422195</v>
      </c>
      <c r="T9" s="407">
        <f>'Non-Residential TSM UC'!T9*(Inputs!$C$21)</f>
        <v>855.2930770275243</v>
      </c>
      <c r="U9" s="41">
        <f t="shared" si="4"/>
        <v>3985.2203899697438</v>
      </c>
      <c r="V9" s="113"/>
      <c r="W9" s="407">
        <f>'Non-Residential TSM UC'!W9*(Inputs!$C$21)</f>
        <v>54268.895993555212</v>
      </c>
      <c r="X9" s="407">
        <f>'Non-Residential TSM UC'!X9*(Inputs!$C$21)</f>
        <v>956.79196332763956</v>
      </c>
      <c r="Y9" s="41">
        <f t="shared" si="5"/>
        <v>55225.687956882852</v>
      </c>
    </row>
    <row r="10" spans="1:28">
      <c r="A10" s="124" t="s">
        <v>110</v>
      </c>
      <c r="B10" s="408">
        <f>'Non-Residential TSM UC'!B10*(Inputs!$C$21)</f>
        <v>2182.7286417415198</v>
      </c>
      <c r="C10" s="407">
        <f>'Non-Residential TSM UC'!C10*(Inputs!$C$21)</f>
        <v>172.82934577832256</v>
      </c>
      <c r="D10" s="407">
        <f>'Non-Residential TSM UC'!D10*(Inputs!$C$21)</f>
        <v>231.00861885131383</v>
      </c>
      <c r="E10" s="41">
        <f t="shared" si="0"/>
        <v>2586.566606371156</v>
      </c>
      <c r="F10" s="408">
        <f>'Non-Residential TSM UC'!F10*(Inputs!$C$21)</f>
        <v>4705.9101974650057</v>
      </c>
      <c r="G10" s="407">
        <f>'Non-Residential TSM UC'!G10*(Inputs!$C$21)</f>
        <v>718.29191911453245</v>
      </c>
      <c r="H10" s="407">
        <f>'Non-Residential TSM UC'!H10*(Inputs!$C$21)</f>
        <v>297.01685728884092</v>
      </c>
      <c r="I10" s="41">
        <f t="shared" si="1"/>
        <v>5721.2189738683783</v>
      </c>
      <c r="J10" s="408">
        <f>'Non-Residential TSM UC'!J10*(Inputs!$C$21)</f>
        <v>4948.0982931893386</v>
      </c>
      <c r="K10" s="407">
        <f>'Non-Residential TSM UC'!K10*(Inputs!$C$21)</f>
        <v>718.29191911453245</v>
      </c>
      <c r="L10" s="407">
        <f>'Non-Residential TSM UC'!L10*(Inputs!$C$21)</f>
        <v>297.01685728884092</v>
      </c>
      <c r="M10" s="41">
        <f t="shared" si="2"/>
        <v>5963.4070695927121</v>
      </c>
      <c r="N10" s="408">
        <f>'Non-Residential TSM UC'!N10*(Inputs!$C$21)</f>
        <v>5836.7948491438538</v>
      </c>
      <c r="O10" s="407">
        <f>'Non-Residential TSM UC'!O10*(Inputs!$C$21)</f>
        <v>718.29191911453245</v>
      </c>
      <c r="P10" s="407">
        <f>'Non-Residential TSM UC'!P10*(Inputs!$C$21)</f>
        <v>297.01685728884092</v>
      </c>
      <c r="Q10" s="41">
        <f t="shared" si="3"/>
        <v>6852.1036255472272</v>
      </c>
      <c r="R10" s="113"/>
      <c r="S10" s="407">
        <f>'Non-Residential TSM UC'!S10*(Inputs!$C$21)</f>
        <v>3129.9273129422195</v>
      </c>
      <c r="T10" s="407">
        <f>'Non-Residential TSM UC'!T10*(Inputs!$C$21)</f>
        <v>855.2930770275243</v>
      </c>
      <c r="U10" s="41">
        <f t="shared" si="4"/>
        <v>3985.2203899697438</v>
      </c>
      <c r="V10" s="113"/>
      <c r="W10" s="407">
        <f>'Non-Residential TSM UC'!W10*(Inputs!$C$21)</f>
        <v>54268.895993555212</v>
      </c>
      <c r="X10" s="407">
        <f>'Non-Residential TSM UC'!X10*(Inputs!$C$21)</f>
        <v>956.79196332763956</v>
      </c>
      <c r="Y10" s="41">
        <f t="shared" si="5"/>
        <v>55225.687956882852</v>
      </c>
    </row>
    <row r="11" spans="1:28">
      <c r="A11" s="124" t="s">
        <v>102</v>
      </c>
      <c r="B11" s="408">
        <f>'Non-Residential TSM UC'!B11*(Inputs!$C$21)</f>
        <v>2182.7286417415198</v>
      </c>
      <c r="C11" s="407">
        <f>'Non-Residential TSM UC'!C11*(Inputs!$C$21)</f>
        <v>172.82934577832256</v>
      </c>
      <c r="D11" s="407">
        <f>'Non-Residential TSM UC'!D11*(Inputs!$C$21)</f>
        <v>231.00861885131383</v>
      </c>
      <c r="E11" s="41">
        <f t="shared" si="0"/>
        <v>2586.566606371156</v>
      </c>
      <c r="F11" s="408">
        <f>'Non-Residential TSM UC'!F11*(Inputs!$C$21)</f>
        <v>4705.9101974650057</v>
      </c>
      <c r="G11" s="407">
        <f>'Non-Residential TSM UC'!G11*(Inputs!$C$21)</f>
        <v>718.29191911453245</v>
      </c>
      <c r="H11" s="407">
        <f>'Non-Residential TSM UC'!H11*(Inputs!$C$21)</f>
        <v>297.01685728884092</v>
      </c>
      <c r="I11" s="41">
        <f t="shared" si="1"/>
        <v>5721.2189738683783</v>
      </c>
      <c r="J11" s="408">
        <f>'Non-Residential TSM UC'!J11*(Inputs!$C$21)</f>
        <v>4948.0982931893386</v>
      </c>
      <c r="K11" s="407">
        <f>'Non-Residential TSM UC'!K11*(Inputs!$C$21)</f>
        <v>718.29191911453245</v>
      </c>
      <c r="L11" s="407">
        <f>'Non-Residential TSM UC'!L11*(Inputs!$C$21)</f>
        <v>297.01685728884092</v>
      </c>
      <c r="M11" s="41">
        <f t="shared" si="2"/>
        <v>5963.4070695927121</v>
      </c>
      <c r="N11" s="408">
        <f>'Non-Residential TSM UC'!N11*(Inputs!$C$21)</f>
        <v>5836.7948491438538</v>
      </c>
      <c r="O11" s="407">
        <f>'Non-Residential TSM UC'!O11*(Inputs!$C$21)</f>
        <v>718.29191911453245</v>
      </c>
      <c r="P11" s="407">
        <f>'Non-Residential TSM UC'!P11*(Inputs!$C$21)</f>
        <v>297.01685728884092</v>
      </c>
      <c r="Q11" s="41">
        <f t="shared" si="3"/>
        <v>6852.1036255472272</v>
      </c>
      <c r="R11" s="113"/>
      <c r="S11" s="407">
        <f>'Non-Residential TSM UC'!S11*(Inputs!$C$21)</f>
        <v>3129.9273129422195</v>
      </c>
      <c r="T11" s="407">
        <f>'Non-Residential TSM UC'!T11*(Inputs!$C$21)</f>
        <v>855.2930770275243</v>
      </c>
      <c r="U11" s="41">
        <f t="shared" si="4"/>
        <v>3985.2203899697438</v>
      </c>
      <c r="V11" s="113"/>
      <c r="W11" s="407">
        <f>'Non-Residential TSM UC'!W11*(Inputs!$C$21)</f>
        <v>54268.895993555212</v>
      </c>
      <c r="X11" s="407">
        <f>'Non-Residential TSM UC'!X11*(Inputs!$C$21)</f>
        <v>956.79196332763956</v>
      </c>
      <c r="Y11" s="41">
        <f t="shared" si="5"/>
        <v>55225.687956882852</v>
      </c>
    </row>
    <row r="12" spans="1:28">
      <c r="A12" s="124" t="s">
        <v>8</v>
      </c>
      <c r="B12" s="408">
        <f>'Non-Residential TSM UC'!B12*(Inputs!$C$21)</f>
        <v>4690.093592721636</v>
      </c>
      <c r="C12" s="407">
        <f>'Non-Residential TSM UC'!C12*(Inputs!$C$21)</f>
        <v>416.66793089405189</v>
      </c>
      <c r="D12" s="407">
        <f>'Non-Residential TSM UC'!D12*(Inputs!$C$21)</f>
        <v>231.00861885131383</v>
      </c>
      <c r="E12" s="41">
        <f t="shared" si="0"/>
        <v>5337.7701424670022</v>
      </c>
      <c r="F12" s="408">
        <f>'Non-Residential TSM UC'!F12*(Inputs!$C$21)</f>
        <v>14117.730592395017</v>
      </c>
      <c r="G12" s="407">
        <f>'Non-Residential TSM UC'!G12*(Inputs!$C$21)</f>
        <v>935.23510714228996</v>
      </c>
      <c r="H12" s="407">
        <f>'Non-Residential TSM UC'!H12*(Inputs!$C$21)</f>
        <v>297.01685728884092</v>
      </c>
      <c r="I12" s="41">
        <f t="shared" si="1"/>
        <v>15349.982556826149</v>
      </c>
      <c r="J12" s="408">
        <f>'Non-Residential TSM UC'!J12*(Inputs!$C$21)</f>
        <v>14844.294879568015</v>
      </c>
      <c r="K12" s="407">
        <f>'Non-Residential TSM UC'!K12*(Inputs!$C$21)</f>
        <v>935.23510714228996</v>
      </c>
      <c r="L12" s="407">
        <f>'Non-Residential TSM UC'!L12*(Inputs!$C$21)</f>
        <v>297.01685728884092</v>
      </c>
      <c r="M12" s="41">
        <f t="shared" si="2"/>
        <v>16076.546843999147</v>
      </c>
      <c r="N12" s="408">
        <f>'Non-Residential TSM UC'!N12*(Inputs!$C$21)</f>
        <v>5836.7948491438538</v>
      </c>
      <c r="O12" s="407">
        <f>'Non-Residential TSM UC'!O12*(Inputs!$C$21)</f>
        <v>935.23510714228996</v>
      </c>
      <c r="P12" s="407">
        <f>'Non-Residential TSM UC'!P12*(Inputs!$C$21)</f>
        <v>297.01685728884092</v>
      </c>
      <c r="Q12" s="41">
        <f t="shared" si="3"/>
        <v>7069.0468135749843</v>
      </c>
      <c r="R12" s="113"/>
      <c r="S12" s="407">
        <f>'Non-Residential TSM UC'!S12*(Inputs!$C$21)</f>
        <v>3129.9273129422195</v>
      </c>
      <c r="T12" s="407">
        <f>'Non-Residential TSM UC'!T12*(Inputs!$C$21)</f>
        <v>855.2930770275243</v>
      </c>
      <c r="U12" s="41">
        <f t="shared" si="4"/>
        <v>3985.2203899697438</v>
      </c>
      <c r="V12" s="113"/>
      <c r="W12" s="407">
        <f>'Non-Residential TSM UC'!W12*(Inputs!$C$21)</f>
        <v>54268.895993555212</v>
      </c>
      <c r="X12" s="407">
        <f>'Non-Residential TSM UC'!X12*(Inputs!$C$21)</f>
        <v>956.79196332763956</v>
      </c>
      <c r="Y12" s="41">
        <f t="shared" si="5"/>
        <v>55225.687956882852</v>
      </c>
    </row>
    <row r="13" spans="1:28">
      <c r="A13" s="124" t="s">
        <v>9</v>
      </c>
      <c r="B13" s="408">
        <f>'Non-Residential TSM UC'!B13*(Inputs!$C$21)</f>
        <v>5150.0808789771727</v>
      </c>
      <c r="C13" s="407">
        <f>'Non-Residential TSM UC'!C13*(Inputs!$C$21)</f>
        <v>671.30102360008686</v>
      </c>
      <c r="D13" s="407">
        <f>'Non-Residential TSM UC'!D13*(Inputs!$C$21)</f>
        <v>231.00861885131383</v>
      </c>
      <c r="E13" s="41">
        <f t="shared" si="0"/>
        <v>6052.3905214285733</v>
      </c>
      <c r="F13" s="408">
        <f>'Non-Residential TSM UC'!F13*(Inputs!$C$21)</f>
        <v>14117.730592395017</v>
      </c>
      <c r="G13" s="407">
        <f>'Non-Residential TSM UC'!G13*(Inputs!$C$21)</f>
        <v>1440.5499348403266</v>
      </c>
      <c r="H13" s="407">
        <f>'Non-Residential TSM UC'!H13*(Inputs!$C$21)</f>
        <v>297.01685728884092</v>
      </c>
      <c r="I13" s="41">
        <f t="shared" si="1"/>
        <v>15855.297384524185</v>
      </c>
      <c r="J13" s="408">
        <f>'Non-Residential TSM UC'!J13*(Inputs!$C$21)</f>
        <v>14844.294879568015</v>
      </c>
      <c r="K13" s="407">
        <f>'Non-Residential TSM UC'!K13*(Inputs!$C$21)</f>
        <v>1440.5499348403266</v>
      </c>
      <c r="L13" s="407">
        <f>'Non-Residential TSM UC'!L13*(Inputs!$C$21)</f>
        <v>297.01685728884092</v>
      </c>
      <c r="M13" s="41">
        <f t="shared" si="2"/>
        <v>16581.861671697181</v>
      </c>
      <c r="N13" s="408">
        <f>'Non-Residential TSM UC'!N13*(Inputs!$C$21)</f>
        <v>8755.1922737157802</v>
      </c>
      <c r="O13" s="407">
        <f>'Non-Residential TSM UC'!O13*(Inputs!$C$21)</f>
        <v>935.23510714228996</v>
      </c>
      <c r="P13" s="407">
        <f>'Non-Residential TSM UC'!P13*(Inputs!$C$21)</f>
        <v>297.01685728884092</v>
      </c>
      <c r="Q13" s="41">
        <f t="shared" si="3"/>
        <v>9987.4442381469107</v>
      </c>
      <c r="R13" s="113"/>
      <c r="S13" s="407">
        <f>'Non-Residential TSM UC'!S13*(Inputs!$C$21)</f>
        <v>3129.9273129422195</v>
      </c>
      <c r="T13" s="407">
        <f>'Non-Residential TSM UC'!T13*(Inputs!$C$21)</f>
        <v>855.2930770275243</v>
      </c>
      <c r="U13" s="41">
        <f t="shared" si="4"/>
        <v>3985.2203899697438</v>
      </c>
      <c r="V13" s="113"/>
      <c r="W13" s="407">
        <f>'Non-Residential TSM UC'!W13*(Inputs!$C$21)</f>
        <v>54268.895993555212</v>
      </c>
      <c r="X13" s="407">
        <f>'Non-Residential TSM UC'!X13*(Inputs!$C$21)</f>
        <v>956.79196332763956</v>
      </c>
      <c r="Y13" s="41">
        <f t="shared" si="5"/>
        <v>55225.687956882852</v>
      </c>
    </row>
    <row r="14" spans="1:28">
      <c r="A14" s="124" t="s">
        <v>10</v>
      </c>
      <c r="B14" s="408">
        <f>'Non-Residential TSM UC'!B14*(Inputs!$C$21)</f>
        <v>4936.206559466149</v>
      </c>
      <c r="C14" s="407">
        <f>'Non-Residential TSM UC'!C14*(Inputs!$C$21)</f>
        <v>1276.372447066306</v>
      </c>
      <c r="D14" s="407">
        <f>'Non-Residential TSM UC'!D14*(Inputs!$C$21)</f>
        <v>231.00861885131383</v>
      </c>
      <c r="E14" s="41">
        <f t="shared" si="0"/>
        <v>6443.5876253837687</v>
      </c>
      <c r="F14" s="408">
        <f>'Non-Residential TSM UC'!F14*(Inputs!$C$21)</f>
        <v>8339.1934513193628</v>
      </c>
      <c r="G14" s="407">
        <f>'Non-Residential TSM UC'!G14*(Inputs!$C$21)</f>
        <v>1440.5499348403266</v>
      </c>
      <c r="H14" s="407">
        <f>'Non-Residential TSM UC'!H14*(Inputs!$C$21)</f>
        <v>297.01685728884092</v>
      </c>
      <c r="I14" s="41">
        <f t="shared" si="1"/>
        <v>10076.760243448531</v>
      </c>
      <c r="J14" s="408">
        <f>'Non-Residential TSM UC'!J14*(Inputs!$C$21)</f>
        <v>8597.5391843563593</v>
      </c>
      <c r="K14" s="407">
        <f>'Non-Residential TSM UC'!K14*(Inputs!$C$21)</f>
        <v>1440.5499348403266</v>
      </c>
      <c r="L14" s="407">
        <f>'Non-Residential TSM UC'!L14*(Inputs!$C$21)</f>
        <v>297.01685728884092</v>
      </c>
      <c r="M14" s="41">
        <f t="shared" si="2"/>
        <v>10335.105976485527</v>
      </c>
      <c r="N14" s="408">
        <f>'Non-Residential TSM UC'!N14*(Inputs!$C$21)</f>
        <v>8755.1922737157802</v>
      </c>
      <c r="O14" s="407">
        <f>'Non-Residential TSM UC'!O14*(Inputs!$C$21)</f>
        <v>1440.5499348403266</v>
      </c>
      <c r="P14" s="407">
        <f>'Non-Residential TSM UC'!P14*(Inputs!$C$21)</f>
        <v>297.01685728884092</v>
      </c>
      <c r="Q14" s="41">
        <f t="shared" si="3"/>
        <v>10492.759065844948</v>
      </c>
      <c r="R14" s="113"/>
      <c r="S14" s="407">
        <f>'Non-Residential TSM UC'!S14*(Inputs!$C$21)</f>
        <v>3129.9273129422195</v>
      </c>
      <c r="T14" s="407">
        <f>'Non-Residential TSM UC'!T14*(Inputs!$C$21)</f>
        <v>855.2930770275243</v>
      </c>
      <c r="U14" s="41">
        <f t="shared" si="4"/>
        <v>3985.2203899697438</v>
      </c>
      <c r="V14" s="113"/>
      <c r="W14" s="407">
        <f>'Non-Residential TSM UC'!W14*(Inputs!$C$21)</f>
        <v>54268.895993555212</v>
      </c>
      <c r="X14" s="407">
        <f>'Non-Residential TSM UC'!X14*(Inputs!$C$21)</f>
        <v>956.79196332763956</v>
      </c>
      <c r="Y14" s="41">
        <f t="shared" si="5"/>
        <v>55225.687956882852</v>
      </c>
    </row>
    <row r="15" spans="1:28">
      <c r="A15" s="124" t="s">
        <v>11</v>
      </c>
      <c r="B15" s="408">
        <f>'Non-Residential TSM UC'!B15*(Inputs!$C$21)</f>
        <v>4936.206559466149</v>
      </c>
      <c r="C15" s="407">
        <f>'Non-Residential TSM UC'!C15*(Inputs!$C$21)</f>
        <v>1881.4438705325249</v>
      </c>
      <c r="D15" s="407">
        <f>'Non-Residential TSM UC'!D15*(Inputs!$C$21)</f>
        <v>231.00861885131383</v>
      </c>
      <c r="E15" s="41">
        <f t="shared" si="0"/>
        <v>7048.6590488499878</v>
      </c>
      <c r="F15" s="408">
        <f>'Non-Residential TSM UC'!F15*(Inputs!$C$21)</f>
        <v>8339.1934513193628</v>
      </c>
      <c r="G15" s="407">
        <f>'Non-Residential TSM UC'!G15*(Inputs!$C$21)</f>
        <v>2881.0998696806532</v>
      </c>
      <c r="H15" s="407">
        <f>'Non-Residential TSM UC'!H15*(Inputs!$C$21)</f>
        <v>855.2930770275243</v>
      </c>
      <c r="I15" s="41">
        <f t="shared" si="1"/>
        <v>12075.586398027539</v>
      </c>
      <c r="J15" s="408">
        <f>'Non-Residential TSM UC'!J15*(Inputs!$C$21)</f>
        <v>17195.078368712719</v>
      </c>
      <c r="K15" s="407">
        <f>'Non-Residential TSM UC'!K15*(Inputs!$C$21)</f>
        <v>2881.0998696806532</v>
      </c>
      <c r="L15" s="407">
        <f>'Non-Residential TSM UC'!L15*(Inputs!$C$21)</f>
        <v>855.2930770275243</v>
      </c>
      <c r="M15" s="41">
        <f t="shared" si="2"/>
        <v>20931.471315420895</v>
      </c>
      <c r="N15" s="408">
        <f>'Non-Residential TSM UC'!N15*(Inputs!$C$21)</f>
        <v>17510.38454743156</v>
      </c>
      <c r="O15" s="407">
        <f>'Non-Residential TSM UC'!O15*(Inputs!$C$21)</f>
        <v>1440.5499348403266</v>
      </c>
      <c r="P15" s="407">
        <f>'Non-Residential TSM UC'!P15*(Inputs!$C$21)</f>
        <v>855.2930770275243</v>
      </c>
      <c r="Q15" s="41">
        <f t="shared" si="3"/>
        <v>19806.227559299412</v>
      </c>
      <c r="R15" s="113"/>
      <c r="S15" s="407">
        <f>'Non-Residential TSM UC'!S15*(Inputs!$C$21)</f>
        <v>3129.9273129422195</v>
      </c>
      <c r="T15" s="407">
        <f>'Non-Residential TSM UC'!T15*(Inputs!$C$21)</f>
        <v>956.79196332763956</v>
      </c>
      <c r="U15" s="41">
        <f t="shared" si="4"/>
        <v>4086.7192762698592</v>
      </c>
      <c r="V15" s="113"/>
      <c r="W15" s="407">
        <f>'Non-Residential TSM UC'!W15*(Inputs!$C$21)</f>
        <v>54268.895993555212</v>
      </c>
      <c r="X15" s="407">
        <f>'Non-Residential TSM UC'!X15*(Inputs!$C$21)</f>
        <v>956.79196332763956</v>
      </c>
      <c r="Y15" s="41">
        <f t="shared" si="5"/>
        <v>55225.687956882852</v>
      </c>
    </row>
    <row r="16" spans="1:28">
      <c r="A16" s="124" t="s">
        <v>106</v>
      </c>
      <c r="B16" s="408">
        <f>'Non-Residential TSM UC'!B16*(Inputs!$C$21)</f>
        <v>6972.3309833234607</v>
      </c>
      <c r="C16" s="407">
        <f>'Non-Residential TSM UC'!C16*(Inputs!$C$21)</f>
        <v>1881.4438705325249</v>
      </c>
      <c r="D16" s="407">
        <f>'Non-Residential TSM UC'!D16*(Inputs!$C$21)</f>
        <v>231.00861885131383</v>
      </c>
      <c r="E16" s="41">
        <f t="shared" si="0"/>
        <v>9084.7834727073005</v>
      </c>
      <c r="F16" s="408">
        <f>'Non-Residential TSM UC'!F16*(Inputs!$C$21)</f>
        <v>16678.386902638726</v>
      </c>
      <c r="G16" s="407">
        <f>'Non-Residential TSM UC'!G16*(Inputs!$C$21)</f>
        <v>3881.3806159244828</v>
      </c>
      <c r="H16" s="407">
        <f>'Non-Residential TSM UC'!H16*(Inputs!$C$21)</f>
        <v>855.2930770275243</v>
      </c>
      <c r="I16" s="41">
        <f t="shared" si="1"/>
        <v>21415.06059559073</v>
      </c>
      <c r="J16" s="408">
        <f>'Non-Residential TSM UC'!J16*(Inputs!$C$21)</f>
        <v>9687.5686087994509</v>
      </c>
      <c r="K16" s="407">
        <f>'Non-Residential TSM UC'!K16*(Inputs!$C$21)</f>
        <v>3881.3806159244828</v>
      </c>
      <c r="L16" s="407">
        <f>'Non-Residential TSM UC'!L16*(Inputs!$C$21)</f>
        <v>855.2930770275243</v>
      </c>
      <c r="M16" s="41">
        <f t="shared" si="2"/>
        <v>14424.242301751459</v>
      </c>
      <c r="N16" s="408">
        <f>'Non-Residential TSM UC'!N16*(Inputs!$C$21)</f>
        <v>9171.5053855295391</v>
      </c>
      <c r="O16" s="407">
        <f>'Non-Residential TSM UC'!O16*(Inputs!$C$21)</f>
        <v>1940.6903079622414</v>
      </c>
      <c r="P16" s="407">
        <f>'Non-Residential TSM UC'!P16*(Inputs!$C$21)</f>
        <v>855.2930770275243</v>
      </c>
      <c r="Q16" s="41">
        <f t="shared" si="3"/>
        <v>11967.488770519303</v>
      </c>
      <c r="R16" s="113"/>
      <c r="S16" s="407">
        <f>'Non-Residential TSM UC'!S16*(Inputs!$C$21)</f>
        <v>3129.9273129422195</v>
      </c>
      <c r="T16" s="407">
        <f>'Non-Residential TSM UC'!T16*(Inputs!$C$21)</f>
        <v>956.79196332763956</v>
      </c>
      <c r="U16" s="41">
        <f t="shared" si="4"/>
        <v>4086.7192762698592</v>
      </c>
      <c r="V16" s="113"/>
      <c r="W16" s="407">
        <f>'Non-Residential TSM UC'!W16*(Inputs!$C$21)</f>
        <v>54268.895993555212</v>
      </c>
      <c r="X16" s="407">
        <f>'Non-Residential TSM UC'!X16*(Inputs!$C$21)</f>
        <v>956.79196332763956</v>
      </c>
      <c r="Y16" s="41">
        <f t="shared" si="5"/>
        <v>55225.687956882852</v>
      </c>
    </row>
    <row r="17" spans="1:28">
      <c r="A17" s="124" t="s">
        <v>107</v>
      </c>
      <c r="B17" s="113"/>
      <c r="C17" s="98"/>
      <c r="D17" s="98"/>
      <c r="E17" s="41"/>
      <c r="F17" s="408">
        <f>'Non-Residential TSM UC'!F17*(Inputs!$C$21)</f>
        <v>16678.386902638726</v>
      </c>
      <c r="G17" s="407">
        <f>'Non-Residential TSM UC'!G17*(Inputs!$C$21)</f>
        <v>3881.3806159244828</v>
      </c>
      <c r="H17" s="407">
        <f>'Non-Residential TSM UC'!H17*(Inputs!$C$21)</f>
        <v>855.2930770275243</v>
      </c>
      <c r="I17" s="41">
        <f t="shared" si="1"/>
        <v>21415.06059559073</v>
      </c>
      <c r="J17" s="408">
        <f>'Non-Residential TSM UC'!J17*(Inputs!$C$21)</f>
        <v>9687.5686087994509</v>
      </c>
      <c r="K17" s="407">
        <f>'Non-Residential TSM UC'!K17*(Inputs!$C$21)</f>
        <v>3881.3806159244828</v>
      </c>
      <c r="L17" s="407">
        <f>'Non-Residential TSM UC'!L17*(Inputs!$C$21)</f>
        <v>855.2930770275243</v>
      </c>
      <c r="M17" s="41">
        <f t="shared" si="2"/>
        <v>14424.242301751459</v>
      </c>
      <c r="N17" s="408">
        <f>'Non-Residential TSM UC'!N17*(Inputs!$C$21)</f>
        <v>9171.5053855295391</v>
      </c>
      <c r="O17" s="407">
        <f>'Non-Residential TSM UC'!O17*(Inputs!$C$21)</f>
        <v>1940.6903079622414</v>
      </c>
      <c r="P17" s="407">
        <f>'Non-Residential TSM UC'!P17*(Inputs!$C$21)</f>
        <v>855.2930770275243</v>
      </c>
      <c r="Q17" s="41">
        <f t="shared" si="3"/>
        <v>11967.488770519303</v>
      </c>
      <c r="R17" s="113"/>
      <c r="S17" s="407">
        <f>'Non-Residential TSM UC'!S17*(Inputs!$C$21)</f>
        <v>3129.9273129422195</v>
      </c>
      <c r="T17" s="407">
        <f>'Non-Residential TSM UC'!T17*(Inputs!$C$21)</f>
        <v>956.79196332763956</v>
      </c>
      <c r="U17" s="41">
        <f t="shared" si="4"/>
        <v>4086.7192762698592</v>
      </c>
      <c r="V17" s="113"/>
      <c r="W17" s="407">
        <f>'Non-Residential TSM UC'!W17*(Inputs!$C$21)</f>
        <v>54268.895993555212</v>
      </c>
      <c r="X17" s="407">
        <f>'Non-Residential TSM UC'!X17*(Inputs!$C$21)</f>
        <v>956.79196332763956</v>
      </c>
      <c r="Y17" s="41">
        <f t="shared" si="5"/>
        <v>55225.687956882852</v>
      </c>
      <c r="AB17" s="31"/>
    </row>
    <row r="18" spans="1:28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408">
        <f>'Non-Residential TSM UC'!J18*(Inputs!$C$21)</f>
        <v>19375.137217598902</v>
      </c>
      <c r="K18" s="407">
        <f>'Non-Residential TSM UC'!K18*(Inputs!$C$21)</f>
        <v>6332.3820101775018</v>
      </c>
      <c r="L18" s="407">
        <f>'Non-Residential TSM UC'!L18*(Inputs!$C$21)</f>
        <v>855.2930770275243</v>
      </c>
      <c r="M18" s="41">
        <f t="shared" si="2"/>
        <v>26562.812304803927</v>
      </c>
      <c r="N18" s="408">
        <f>'Non-Residential TSM UC'!N18*(Inputs!$C$21)</f>
        <v>18343.010771059078</v>
      </c>
      <c r="O18" s="407">
        <f>'Non-Residential TSM UC'!O18*(Inputs!$C$21)</f>
        <v>3166.1910050887509</v>
      </c>
      <c r="P18" s="407">
        <f>'Non-Residential TSM UC'!P18*(Inputs!$C$21)</f>
        <v>855.2930770275243</v>
      </c>
      <c r="Q18" s="41">
        <f t="shared" si="3"/>
        <v>22364.494853175351</v>
      </c>
      <c r="R18" s="113"/>
      <c r="S18" s="407">
        <f>'Non-Residential TSM UC'!S18*(Inputs!$C$21)</f>
        <v>3129.9273129422195</v>
      </c>
      <c r="T18" s="407">
        <f>'Non-Residential TSM UC'!T18*(Inputs!$C$21)</f>
        <v>956.79196332763956</v>
      </c>
      <c r="U18" s="41">
        <f t="shared" si="4"/>
        <v>4086.7192762698592</v>
      </c>
      <c r="V18" s="113"/>
      <c r="W18" s="407">
        <f>'Non-Residential TSM UC'!W18*(Inputs!$C$21)</f>
        <v>54268.895993555212</v>
      </c>
      <c r="X18" s="407">
        <f>'Non-Residential TSM UC'!X18*(Inputs!$C$21)</f>
        <v>956.79196332763956</v>
      </c>
      <c r="Y18" s="41">
        <f t="shared" si="5"/>
        <v>55225.687956882852</v>
      </c>
      <c r="AB18" s="31"/>
    </row>
    <row r="19" spans="1:28">
      <c r="A19" s="124" t="s">
        <v>13</v>
      </c>
      <c r="B19" s="113"/>
      <c r="C19" s="98"/>
      <c r="D19" s="98"/>
      <c r="E19" s="41"/>
      <c r="F19" s="113"/>
      <c r="G19" s="98"/>
      <c r="H19" s="98"/>
      <c r="I19" s="41"/>
      <c r="J19" s="408">
        <f>'Non-Residential TSM UC'!J19*(Inputs!$C$21)</f>
        <v>12406.351038992085</v>
      </c>
      <c r="K19" s="407">
        <f>'Non-Residential TSM UC'!K19*(Inputs!$C$21)</f>
        <v>9498.5730152662527</v>
      </c>
      <c r="L19" s="407">
        <f>'Non-Residential TSM UC'!L19*(Inputs!$C$21)</f>
        <v>855.2930770275243</v>
      </c>
      <c r="M19" s="41">
        <f t="shared" si="2"/>
        <v>22760.217131285859</v>
      </c>
      <c r="N19" s="408">
        <f>'Non-Residential TSM UC'!N19*(Inputs!$C$21)</f>
        <v>12406.351038992085</v>
      </c>
      <c r="O19" s="407">
        <f>'Non-Residential TSM UC'!O19*(Inputs!$C$21)</f>
        <v>3881.3806159244828</v>
      </c>
      <c r="P19" s="407">
        <f>'Non-Residential TSM UC'!P19*(Inputs!$C$21)</f>
        <v>855.2930770275243</v>
      </c>
      <c r="Q19" s="41">
        <f t="shared" si="3"/>
        <v>17143.024731944093</v>
      </c>
      <c r="R19" s="113"/>
      <c r="S19" s="407">
        <f>'Non-Residential TSM UC'!S19*(Inputs!$C$21)</f>
        <v>3129.9273129422195</v>
      </c>
      <c r="T19" s="407">
        <f>'Non-Residential TSM UC'!T19*(Inputs!$C$21)</f>
        <v>956.79196332763956</v>
      </c>
      <c r="U19" s="41">
        <f t="shared" si="4"/>
        <v>4086.7192762698592</v>
      </c>
      <c r="V19" s="113"/>
      <c r="W19" s="407">
        <f>'Non-Residential TSM UC'!W19*(Inputs!$C$21)</f>
        <v>54268.895993555212</v>
      </c>
      <c r="X19" s="407">
        <f>'Non-Residential TSM UC'!X19*(Inputs!$C$21)</f>
        <v>956.79196332763956</v>
      </c>
      <c r="Y19" s="41">
        <f t="shared" si="5"/>
        <v>55225.687956882852</v>
      </c>
      <c r="AB19" s="31"/>
    </row>
    <row r="20" spans="1:28">
      <c r="A20" s="124" t="s">
        <v>108</v>
      </c>
      <c r="B20" s="113"/>
      <c r="C20" s="98"/>
      <c r="D20" s="98"/>
      <c r="E20" s="41"/>
      <c r="F20" s="113"/>
      <c r="G20" s="98"/>
      <c r="H20" s="98"/>
      <c r="I20" s="41"/>
      <c r="J20" s="408">
        <f>'Non-Residential TSM UC'!J20*(Inputs!$C$21)</f>
        <v>16768.219224341061</v>
      </c>
      <c r="K20" s="407">
        <f>'Non-Residential TSM UC'!K20*(Inputs!$C$21)</f>
        <v>9498.5730152662527</v>
      </c>
      <c r="L20" s="407">
        <f>'Non-Residential TSM UC'!L20*(Inputs!$C$21)</f>
        <v>855.2930770275243</v>
      </c>
      <c r="M20" s="41">
        <f t="shared" ref="M20:M28" si="6">SUM(J20:L20)</f>
        <v>27122.085316634835</v>
      </c>
      <c r="N20" s="408">
        <f>'Non-Residential TSM UC'!N20*(Inputs!$C$21)</f>
        <v>14168.457286169785</v>
      </c>
      <c r="O20" s="407">
        <f>'Non-Residential TSM UC'!O20*(Inputs!$C$21)</f>
        <v>3881.3806159244828</v>
      </c>
      <c r="P20" s="407">
        <f>'Non-Residential TSM UC'!P20*(Inputs!$C$21)</f>
        <v>855.2930770275243</v>
      </c>
      <c r="Q20" s="41">
        <f>SUM(N20:P20)</f>
        <v>18905.13097912179</v>
      </c>
      <c r="R20" s="113"/>
      <c r="S20" s="407">
        <f>'Non-Residential TSM UC'!S20*(Inputs!$C$21)</f>
        <v>3129.9273129422195</v>
      </c>
      <c r="T20" s="407">
        <f>'Non-Residential TSM UC'!T20*(Inputs!$C$21)</f>
        <v>956.79196332763956</v>
      </c>
      <c r="U20" s="41">
        <f>SUM(R20:T20)</f>
        <v>4086.7192762698592</v>
      </c>
      <c r="V20" s="113"/>
      <c r="W20" s="407">
        <f>'Non-Residential TSM UC'!W20*(Inputs!$C$21)</f>
        <v>54268.895993555212</v>
      </c>
      <c r="X20" s="407">
        <f>'Non-Residential TSM UC'!X20*(Inputs!$C$21)</f>
        <v>956.79196332763956</v>
      </c>
      <c r="Y20" s="41">
        <f>SUM(V20:X20)</f>
        <v>55225.687956882852</v>
      </c>
      <c r="AB20" s="31"/>
    </row>
    <row r="21" spans="1:28">
      <c r="A21" s="124" t="s">
        <v>109</v>
      </c>
      <c r="B21" s="113"/>
      <c r="C21" s="98"/>
      <c r="D21" s="98"/>
      <c r="E21" s="41"/>
      <c r="F21" s="113"/>
      <c r="G21" s="98"/>
      <c r="H21" s="98"/>
      <c r="I21" s="41"/>
      <c r="J21" s="408">
        <f>'Non-Residential TSM UC'!J21*(Inputs!$C$21)</f>
        <v>16768.219224341061</v>
      </c>
      <c r="K21" s="407">
        <f>'Non-Residential TSM UC'!K21*(Inputs!$C$21)</f>
        <v>9498.5730152662527</v>
      </c>
      <c r="L21" s="407">
        <f>'Non-Residential TSM UC'!L21*(Inputs!$C$21)</f>
        <v>855.2930770275243</v>
      </c>
      <c r="M21" s="41">
        <f t="shared" si="6"/>
        <v>27122.085316634835</v>
      </c>
      <c r="N21" s="408">
        <f>'Non-Residential TSM UC'!N21*(Inputs!$C$21)</f>
        <v>14168.457286169785</v>
      </c>
      <c r="O21" s="407">
        <f>'Non-Residential TSM UC'!O21*(Inputs!$C$21)</f>
        <v>3881.3806159244828</v>
      </c>
      <c r="P21" s="407">
        <f>'Non-Residential TSM UC'!P21*(Inputs!$C$21)</f>
        <v>855.2930770275243</v>
      </c>
      <c r="Q21" s="41">
        <f t="shared" si="3"/>
        <v>18905.13097912179</v>
      </c>
      <c r="R21" s="113"/>
      <c r="S21" s="407">
        <f>'Non-Residential TSM UC'!S21*(Inputs!$C$21)</f>
        <v>3129.9273129422195</v>
      </c>
      <c r="T21" s="407">
        <f>'Non-Residential TSM UC'!T21*(Inputs!$C$21)</f>
        <v>956.79196332763956</v>
      </c>
      <c r="U21" s="41">
        <f t="shared" ref="U21:U37" si="7">SUM(R21:T21)</f>
        <v>4086.7192762698592</v>
      </c>
      <c r="V21" s="113"/>
      <c r="W21" s="407">
        <f>'Non-Residential TSM UC'!W21*(Inputs!$C$21)</f>
        <v>54268.895993555212</v>
      </c>
      <c r="X21" s="407">
        <f>'Non-Residential TSM UC'!X21*(Inputs!$C$21)</f>
        <v>956.79196332763956</v>
      </c>
      <c r="Y21" s="41">
        <f t="shared" ref="Y21:Y37" si="8">SUM(V21:X21)</f>
        <v>55225.687956882852</v>
      </c>
      <c r="AB21" s="31"/>
    </row>
    <row r="22" spans="1:28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408">
        <f>'Non-Residential TSM UC'!J22*(Inputs!$C$21)</f>
        <v>33536.438448682122</v>
      </c>
      <c r="K22" s="407">
        <f>'Non-Residential TSM UC'!K22*(Inputs!$C$21)</f>
        <v>12664.764020355004</v>
      </c>
      <c r="L22" s="407">
        <f>'Non-Residential TSM UC'!L22*(Inputs!$C$21)</f>
        <v>855.2930770275243</v>
      </c>
      <c r="M22" s="41">
        <f t="shared" si="6"/>
        <v>47056.495546064652</v>
      </c>
      <c r="N22" s="408">
        <f>'Non-Residential TSM UC'!N22*(Inputs!$C$21)</f>
        <v>28336.91457233957</v>
      </c>
      <c r="O22" s="407">
        <f>'Non-Residential TSM UC'!O22*(Inputs!$C$21)</f>
        <v>6332.3820101775018</v>
      </c>
      <c r="P22" s="407">
        <f>'Non-Residential TSM UC'!P22*(Inputs!$C$21)</f>
        <v>855.2930770275243</v>
      </c>
      <c r="Q22" s="41">
        <f t="shared" si="3"/>
        <v>35524.589659544596</v>
      </c>
      <c r="R22" s="113"/>
      <c r="S22" s="407">
        <f>'Non-Residential TSM UC'!S22*(Inputs!$C$21)</f>
        <v>3129.9273129422195</v>
      </c>
      <c r="T22" s="407">
        <f>'Non-Residential TSM UC'!T22*(Inputs!$C$21)</f>
        <v>956.79196332763956</v>
      </c>
      <c r="U22" s="41">
        <f t="shared" si="7"/>
        <v>4086.7192762698592</v>
      </c>
      <c r="V22" s="113"/>
      <c r="W22" s="407">
        <f>'Non-Residential TSM UC'!W22*(Inputs!$C$21)</f>
        <v>54268.895993555212</v>
      </c>
      <c r="X22" s="407">
        <f>'Non-Residential TSM UC'!X22*(Inputs!$C$21)</f>
        <v>956.79196332763956</v>
      </c>
      <c r="Y22" s="41">
        <f t="shared" si="8"/>
        <v>55225.687956882852</v>
      </c>
    </row>
    <row r="23" spans="1:28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408">
        <f>'Non-Residential TSM UC'!J23*(Inputs!$C$21)</f>
        <v>33536.438448682122</v>
      </c>
      <c r="K23" s="407">
        <f>'Non-Residential TSM UC'!K23*(Inputs!$C$21)</f>
        <v>15830.955025443756</v>
      </c>
      <c r="L23" s="407">
        <f>'Non-Residential TSM UC'!L23*(Inputs!$C$21)</f>
        <v>855.2930770275243</v>
      </c>
      <c r="M23" s="41">
        <f t="shared" si="6"/>
        <v>50222.686551153405</v>
      </c>
      <c r="N23" s="408">
        <f>'Non-Residential TSM UC'!N23*(Inputs!$C$21)</f>
        <v>34353.01585099873</v>
      </c>
      <c r="O23" s="407">
        <f>'Non-Residential TSM UC'!O23*(Inputs!$C$21)</f>
        <v>6332.3820101775018</v>
      </c>
      <c r="P23" s="407">
        <f>'Non-Residential TSM UC'!P23*(Inputs!$C$21)</f>
        <v>855.2930770275243</v>
      </c>
      <c r="Q23" s="41">
        <f t="shared" si="3"/>
        <v>41540.690938203756</v>
      </c>
      <c r="R23" s="113"/>
      <c r="S23" s="407">
        <f>'Non-Residential TSM UC'!S23*(Inputs!$C$21)</f>
        <v>3129.9273129422195</v>
      </c>
      <c r="T23" s="407">
        <f>'Non-Residential TSM UC'!T23*(Inputs!$C$21)</f>
        <v>956.79196332763956</v>
      </c>
      <c r="U23" s="41">
        <f t="shared" si="7"/>
        <v>4086.7192762698592</v>
      </c>
      <c r="V23" s="113"/>
      <c r="W23" s="407">
        <f>'Non-Residential TSM UC'!W23*(Inputs!$C$21)</f>
        <v>54268.895993555212</v>
      </c>
      <c r="X23" s="407">
        <f>'Non-Residential TSM UC'!X23*(Inputs!$C$21)</f>
        <v>956.79196332763956</v>
      </c>
      <c r="Y23" s="41">
        <f t="shared" si="8"/>
        <v>55225.687956882852</v>
      </c>
    </row>
    <row r="24" spans="1:28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408">
        <f>'Non-Residential TSM UC'!J24*(Inputs!$C$21)</f>
        <v>39374.705413198702</v>
      </c>
      <c r="K24" s="407">
        <f>'Non-Residential TSM UC'!K24*(Inputs!$C$21)</f>
        <v>18997.146030532505</v>
      </c>
      <c r="L24" s="407">
        <f>'Non-Residential TSM UC'!L24*(Inputs!$C$21)</f>
        <v>855.2930770275243</v>
      </c>
      <c r="M24" s="41">
        <f t="shared" si="6"/>
        <v>59227.144520758739</v>
      </c>
      <c r="N24" s="408">
        <f>'Non-Residential TSM UC'!N24*(Inputs!$C$21)</f>
        <v>34353.01585099873</v>
      </c>
      <c r="O24" s="407">
        <f>'Non-Residential TSM UC'!O24*(Inputs!$C$21)</f>
        <v>6332.3820101775018</v>
      </c>
      <c r="P24" s="407">
        <f>'Non-Residential TSM UC'!P24*(Inputs!$C$21)</f>
        <v>855.2930770275243</v>
      </c>
      <c r="Q24" s="41">
        <f t="shared" si="3"/>
        <v>41540.690938203756</v>
      </c>
      <c r="R24" s="113"/>
      <c r="S24" s="407">
        <f>'Non-Residential TSM UC'!S24*(Inputs!$C$21)</f>
        <v>3129.9273129422195</v>
      </c>
      <c r="T24" s="407">
        <f>'Non-Residential TSM UC'!T24*(Inputs!$C$21)</f>
        <v>956.79196332763956</v>
      </c>
      <c r="U24" s="41">
        <f t="shared" si="7"/>
        <v>4086.7192762698592</v>
      </c>
      <c r="V24" s="113"/>
      <c r="W24" s="407">
        <f>'Non-Residential TSM UC'!W24*(Inputs!$C$21)</f>
        <v>54268.895993555212</v>
      </c>
      <c r="X24" s="407">
        <f>'Non-Residential TSM UC'!X24*(Inputs!$C$21)</f>
        <v>956.79196332763956</v>
      </c>
      <c r="Y24" s="41">
        <f t="shared" si="8"/>
        <v>55225.687956882852</v>
      </c>
    </row>
    <row r="25" spans="1:28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408">
        <f>'Non-Residential TSM UC'!J25*(Inputs!$C$21)</f>
        <v>39374.705413198702</v>
      </c>
      <c r="K25" s="407">
        <f>'Non-Residential TSM UC'!K25*(Inputs!$C$21)</f>
        <v>28495.71904579876</v>
      </c>
      <c r="L25" s="407">
        <f>'Non-Residential TSM UC'!L25*(Inputs!$C$21)</f>
        <v>855.2930770275243</v>
      </c>
      <c r="M25" s="41">
        <f t="shared" si="6"/>
        <v>68725.717536024997</v>
      </c>
      <c r="N25" s="408">
        <f>'Non-Residential TSM UC'!N25*(Inputs!$C$21)</f>
        <v>39689.604854849094</v>
      </c>
      <c r="O25" s="407">
        <f>'Non-Residential TSM UC'!O25*(Inputs!$C$21)</f>
        <v>9498.5730152662527</v>
      </c>
      <c r="P25" s="407">
        <f>'Non-Residential TSM UC'!P25*(Inputs!$C$21)</f>
        <v>855.2930770275243</v>
      </c>
      <c r="Q25" s="41">
        <f t="shared" si="3"/>
        <v>50043.470947142872</v>
      </c>
      <c r="R25" s="113"/>
      <c r="S25" s="407">
        <f>'Non-Residential TSM UC'!S25*(Inputs!$C$21)</f>
        <v>3129.9273129422195</v>
      </c>
      <c r="T25" s="407">
        <f>'Non-Residential TSM UC'!T25*(Inputs!$C$21)</f>
        <v>956.79196332763956</v>
      </c>
      <c r="U25" s="41">
        <f t="shared" si="7"/>
        <v>4086.7192762698592</v>
      </c>
      <c r="V25" s="113"/>
      <c r="W25" s="407">
        <f>'Non-Residential TSM UC'!W25*(Inputs!$C$21)</f>
        <v>54268.895993555212</v>
      </c>
      <c r="X25" s="407">
        <f>'Non-Residential TSM UC'!X25*(Inputs!$C$21)</f>
        <v>956.79196332763956</v>
      </c>
      <c r="Y25" s="41">
        <f t="shared" si="8"/>
        <v>55225.687956882852</v>
      </c>
    </row>
    <row r="26" spans="1:28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408">
        <f>'Non-Residential TSM UC'!J26*(Inputs!$C$21)</f>
        <v>39374.705413198702</v>
      </c>
      <c r="K26" s="407">
        <f>'Non-Residential TSM UC'!K26*(Inputs!$C$21)</f>
        <v>37994.292061065011</v>
      </c>
      <c r="L26" s="407">
        <f>'Non-Residential TSM UC'!L26*(Inputs!$C$21)</f>
        <v>855.2930770275243</v>
      </c>
      <c r="M26" s="41">
        <f t="shared" si="6"/>
        <v>78224.29055129124</v>
      </c>
      <c r="N26" s="408">
        <f>'Non-Residential TSM UC'!N26*(Inputs!$C$21)</f>
        <v>39689.604854849094</v>
      </c>
      <c r="O26" s="407">
        <f>'Non-Residential TSM UC'!O26*(Inputs!$C$21)</f>
        <v>12664.764020355004</v>
      </c>
      <c r="P26" s="407">
        <f>'Non-Residential TSM UC'!P26*(Inputs!$C$21)</f>
        <v>855.2930770275243</v>
      </c>
      <c r="Q26" s="41">
        <f t="shared" si="3"/>
        <v>53209.661952231625</v>
      </c>
      <c r="R26" s="113"/>
      <c r="S26" s="407">
        <f>'Non-Residential TSM UC'!S26*(Inputs!$C$21)</f>
        <v>3129.9273129422195</v>
      </c>
      <c r="T26" s="407">
        <f>'Non-Residential TSM UC'!T26*(Inputs!$C$21)</f>
        <v>956.79196332763956</v>
      </c>
      <c r="U26" s="41">
        <f t="shared" si="7"/>
        <v>4086.7192762698592</v>
      </c>
      <c r="V26" s="113"/>
      <c r="W26" s="407">
        <f>'Non-Residential TSM UC'!W26*(Inputs!$C$21)</f>
        <v>54268.895993555212</v>
      </c>
      <c r="X26" s="407">
        <f>'Non-Residential TSM UC'!X26*(Inputs!$C$21)</f>
        <v>956.79196332763956</v>
      </c>
      <c r="Y26" s="41">
        <f t="shared" si="8"/>
        <v>55225.687956882852</v>
      </c>
    </row>
    <row r="27" spans="1:28">
      <c r="A27" s="124" t="s">
        <v>19</v>
      </c>
      <c r="B27" s="113"/>
      <c r="C27" s="98"/>
      <c r="D27" s="98"/>
      <c r="E27" s="41"/>
      <c r="F27" s="113"/>
      <c r="G27" s="98"/>
      <c r="H27" s="23"/>
      <c r="I27" s="41"/>
      <c r="J27" s="408">
        <f>'Non-Residential TSM UC'!J27*(Inputs!$C$21)</f>
        <v>39374.705413198702</v>
      </c>
      <c r="K27" s="407">
        <f>'Non-Residential TSM UC'!K27*(Inputs!$C$21)</f>
        <v>37994.292061065011</v>
      </c>
      <c r="L27" s="407">
        <f>'Non-Residential TSM UC'!L27*(Inputs!$C$21)</f>
        <v>855.2930770275243</v>
      </c>
      <c r="M27" s="41">
        <f t="shared" si="6"/>
        <v>78224.29055129124</v>
      </c>
      <c r="N27" s="408">
        <f>'Non-Residential TSM UC'!N27*(Inputs!$C$21)</f>
        <v>39689.604854849094</v>
      </c>
      <c r="O27" s="407">
        <f>'Non-Residential TSM UC'!O27*(Inputs!$C$21)</f>
        <v>15830.955025443756</v>
      </c>
      <c r="P27" s="407">
        <f>'Non-Residential TSM UC'!P27*(Inputs!$C$21)</f>
        <v>855.2930770275243</v>
      </c>
      <c r="Q27" s="41">
        <f t="shared" si="3"/>
        <v>56375.852957320378</v>
      </c>
      <c r="R27" s="113"/>
      <c r="S27" s="407">
        <f>'Non-Residential TSM UC'!S27*(Inputs!$C$21)</f>
        <v>3129.9273129422195</v>
      </c>
      <c r="T27" s="407">
        <f>'Non-Residential TSM UC'!T27*(Inputs!$C$21)</f>
        <v>956.79196332763956</v>
      </c>
      <c r="U27" s="41">
        <f t="shared" si="7"/>
        <v>4086.7192762698592</v>
      </c>
      <c r="V27" s="113"/>
      <c r="W27" s="407">
        <f>'Non-Residential TSM UC'!W27*(Inputs!$C$21)</f>
        <v>54268.895993555212</v>
      </c>
      <c r="X27" s="407">
        <f>'Non-Residential TSM UC'!X27*(Inputs!$C$21)</f>
        <v>956.79196332763956</v>
      </c>
      <c r="Y27" s="41">
        <f t="shared" si="8"/>
        <v>55225.687956882852</v>
      </c>
    </row>
    <row r="28" spans="1:28">
      <c r="A28" s="124" t="s">
        <v>20</v>
      </c>
      <c r="B28" s="113"/>
      <c r="C28" s="98"/>
      <c r="D28" s="98"/>
      <c r="E28" s="41"/>
      <c r="F28" s="113"/>
      <c r="G28" s="98"/>
      <c r="H28" s="23"/>
      <c r="I28" s="41"/>
      <c r="J28" s="408">
        <f>'Non-Residential TSM UC'!J28*(Inputs!$C$21)</f>
        <v>39374.705413198702</v>
      </c>
      <c r="K28" s="407">
        <f>'Non-Residential TSM UC'!K28*(Inputs!$C$21)</f>
        <v>37994.292061065011</v>
      </c>
      <c r="L28" s="407">
        <f>'Non-Residential TSM UC'!L28*(Inputs!$C$21)</f>
        <v>855.2930770275243</v>
      </c>
      <c r="M28" s="41">
        <f t="shared" si="6"/>
        <v>78224.29055129124</v>
      </c>
      <c r="N28" s="408">
        <f>'Non-Residential TSM UC'!N28*(Inputs!$C$21)</f>
        <v>50459.059403389889</v>
      </c>
      <c r="O28" s="407">
        <f>'Non-Residential TSM UC'!O28*(Inputs!$C$21)</f>
        <v>25329.528040710007</v>
      </c>
      <c r="P28" s="407">
        <f>'Non-Residential TSM UC'!P28*(Inputs!$C$21)</f>
        <v>855.2930770275243</v>
      </c>
      <c r="Q28" s="41">
        <f t="shared" si="3"/>
        <v>76643.880521127416</v>
      </c>
      <c r="R28" s="113"/>
      <c r="S28" s="407">
        <f>'Non-Residential TSM UC'!S28*(Inputs!$C$21)</f>
        <v>3129.9273129422195</v>
      </c>
      <c r="T28" s="407">
        <f>'Non-Residential TSM UC'!T28*(Inputs!$C$21)</f>
        <v>956.79196332763956</v>
      </c>
      <c r="U28" s="41">
        <f t="shared" si="7"/>
        <v>4086.7192762698592</v>
      </c>
      <c r="V28" s="113"/>
      <c r="W28" s="407">
        <f>'Non-Residential TSM UC'!W28*(Inputs!$C$21)</f>
        <v>54268.895993555212</v>
      </c>
      <c r="X28" s="407">
        <f>'Non-Residential TSM UC'!X28*(Inputs!$C$21)</f>
        <v>956.79196332763956</v>
      </c>
      <c r="Y28" s="41">
        <f t="shared" si="8"/>
        <v>55225.687956882852</v>
      </c>
    </row>
    <row r="29" spans="1:28">
      <c r="A29" s="124" t="s">
        <v>21</v>
      </c>
      <c r="B29" s="113"/>
      <c r="C29" s="98"/>
      <c r="D29" s="98"/>
      <c r="E29" s="41"/>
      <c r="F29" s="113"/>
      <c r="G29" s="98"/>
      <c r="H29" s="23"/>
      <c r="I29" s="41"/>
      <c r="J29" s="113"/>
      <c r="K29" s="98"/>
      <c r="L29" s="98"/>
      <c r="M29" s="41"/>
      <c r="N29" s="408">
        <f>'Non-Residential TSM UC'!N29*(Inputs!$C$21)</f>
        <v>55108.40293715908</v>
      </c>
      <c r="O29" s="407">
        <f>'Non-Residential TSM UC'!O29*(Inputs!$C$21)</f>
        <v>31661.910050887513</v>
      </c>
      <c r="P29" s="407">
        <f>'Non-Residential TSM UC'!P29*(Inputs!$C$21)</f>
        <v>855.2930770275243</v>
      </c>
      <c r="Q29" s="41">
        <f t="shared" si="3"/>
        <v>87625.606065074113</v>
      </c>
      <c r="R29" s="113"/>
      <c r="S29" s="407">
        <f>'Non-Residential TSM UC'!S29*(Inputs!$C$21)</f>
        <v>3129.9273129422195</v>
      </c>
      <c r="T29" s="407">
        <f>'Non-Residential TSM UC'!T29*(Inputs!$C$21)</f>
        <v>956.79196332763956</v>
      </c>
      <c r="U29" s="41">
        <f t="shared" si="7"/>
        <v>4086.7192762698592</v>
      </c>
      <c r="V29" s="113"/>
      <c r="W29" s="407">
        <f>'Non-Residential TSM UC'!W29*(Inputs!$C$21)</f>
        <v>54268.895993555212</v>
      </c>
      <c r="X29" s="407">
        <f>'Non-Residential TSM UC'!X29*(Inputs!$C$21)</f>
        <v>956.79196332763956</v>
      </c>
      <c r="Y29" s="41">
        <f t="shared" si="8"/>
        <v>55225.687956882852</v>
      </c>
    </row>
    <row r="30" spans="1:28">
      <c r="A30" s="124" t="s">
        <v>22</v>
      </c>
      <c r="B30" s="113"/>
      <c r="C30" s="98"/>
      <c r="D30" s="98"/>
      <c r="E30" s="41"/>
      <c r="F30" s="113"/>
      <c r="G30" s="98"/>
      <c r="H30" s="23"/>
      <c r="I30" s="41"/>
      <c r="J30" s="113"/>
      <c r="K30" s="98"/>
      <c r="L30" s="98"/>
      <c r="M30" s="41"/>
      <c r="N30" s="113"/>
      <c r="O30" s="98"/>
      <c r="P30" s="98"/>
      <c r="Q30" s="41"/>
      <c r="R30" s="113"/>
      <c r="S30" s="407">
        <f>'Non-Residential TSM UC'!S30*(Inputs!$C$21)</f>
        <v>3129.9273129422195</v>
      </c>
      <c r="T30" s="407">
        <f>'Non-Residential TSM UC'!T30*(Inputs!$C$21)</f>
        <v>956.79196332763956</v>
      </c>
      <c r="U30" s="41">
        <f t="shared" si="7"/>
        <v>4086.7192762698592</v>
      </c>
      <c r="V30" s="113"/>
      <c r="W30" s="407">
        <f>'Non-Residential TSM UC'!W30*(Inputs!$C$21)</f>
        <v>54268.895993555212</v>
      </c>
      <c r="X30" s="407">
        <f>'Non-Residential TSM UC'!X30*(Inputs!$C$21)</f>
        <v>956.79196332763956</v>
      </c>
      <c r="Y30" s="41">
        <f t="shared" si="8"/>
        <v>55225.687956882852</v>
      </c>
    </row>
    <row r="31" spans="1:28">
      <c r="A31" s="124" t="s">
        <v>23</v>
      </c>
      <c r="B31" s="113"/>
      <c r="C31" s="98"/>
      <c r="D31" s="98"/>
      <c r="E31" s="41"/>
      <c r="F31" s="113"/>
      <c r="G31" s="98"/>
      <c r="H31" s="23"/>
      <c r="I31" s="41"/>
      <c r="J31" s="113"/>
      <c r="K31" s="98"/>
      <c r="L31" s="98"/>
      <c r="M31" s="41"/>
      <c r="N31" s="113"/>
      <c r="O31" s="98"/>
      <c r="P31" s="98"/>
      <c r="Q31" s="41"/>
      <c r="R31" s="113"/>
      <c r="S31" s="407">
        <f>'Non-Residential TSM UC'!S31*(Inputs!$C$21)</f>
        <v>7772.9285855999342</v>
      </c>
      <c r="T31" s="407">
        <f>'Non-Residential TSM UC'!T31*(Inputs!$C$21)</f>
        <v>956.79196332763956</v>
      </c>
      <c r="U31" s="41">
        <f t="shared" si="7"/>
        <v>8729.720548927573</v>
      </c>
      <c r="V31" s="113"/>
      <c r="W31" s="407">
        <f>'Non-Residential TSM UC'!W31*(Inputs!$C$21)</f>
        <v>134772.53967943575</v>
      </c>
      <c r="X31" s="407">
        <f>'Non-Residential TSM UC'!X31*(Inputs!$C$21)</f>
        <v>956.79196332763956</v>
      </c>
      <c r="Y31" s="41">
        <f t="shared" si="8"/>
        <v>135729.3316427634</v>
      </c>
    </row>
    <row r="32" spans="1:28">
      <c r="A32" s="124" t="s">
        <v>24</v>
      </c>
      <c r="B32" s="113"/>
      <c r="C32" s="98"/>
      <c r="D32" s="98"/>
      <c r="E32" s="41"/>
      <c r="F32" s="113"/>
      <c r="G32" s="98"/>
      <c r="H32" s="23"/>
      <c r="I32" s="41"/>
      <c r="J32" s="113"/>
      <c r="K32" s="98"/>
      <c r="L32" s="98"/>
      <c r="M32" s="41"/>
      <c r="N32" s="113"/>
      <c r="O32" s="98"/>
      <c r="P32" s="98"/>
      <c r="Q32" s="41"/>
      <c r="R32" s="113"/>
      <c r="S32" s="407">
        <f>'Non-Residential TSM UC'!S32*(Inputs!$C$21)</f>
        <v>7772.9285855999342</v>
      </c>
      <c r="T32" s="407">
        <f>'Non-Residential TSM UC'!T32*(Inputs!$C$21)</f>
        <v>956.79196332763956</v>
      </c>
      <c r="U32" s="41">
        <f t="shared" si="7"/>
        <v>8729.720548927573</v>
      </c>
      <c r="V32" s="113"/>
      <c r="W32" s="407">
        <f>'Non-Residential TSM UC'!W32*(Inputs!$C$21)</f>
        <v>134772.53967943575</v>
      </c>
      <c r="X32" s="407">
        <f>'Non-Residential TSM UC'!X32*(Inputs!$C$21)</f>
        <v>956.79196332763956</v>
      </c>
      <c r="Y32" s="41">
        <f t="shared" si="8"/>
        <v>135729.3316427634</v>
      </c>
      <c r="AB32" s="31"/>
    </row>
    <row r="33" spans="1:25">
      <c r="A33" s="124" t="s">
        <v>25</v>
      </c>
      <c r="B33" s="113"/>
      <c r="C33" s="98"/>
      <c r="D33" s="98"/>
      <c r="E33" s="41"/>
      <c r="F33" s="113"/>
      <c r="G33" s="98"/>
      <c r="H33" s="23"/>
      <c r="I33" s="41"/>
      <c r="J33" s="113"/>
      <c r="K33" s="98"/>
      <c r="L33" s="98"/>
      <c r="M33" s="41"/>
      <c r="N33" s="113"/>
      <c r="O33" s="98"/>
      <c r="P33" s="98"/>
      <c r="Q33" s="41"/>
      <c r="R33" s="113"/>
      <c r="S33" s="407">
        <f>'Non-Residential TSM UC'!S33*(Inputs!$C$21)</f>
        <v>7772.9285855999342</v>
      </c>
      <c r="T33" s="407">
        <f>'Non-Residential TSM UC'!T33*(Inputs!$C$21)</f>
        <v>956.79196332763956</v>
      </c>
      <c r="U33" s="41">
        <f t="shared" si="7"/>
        <v>8729.720548927573</v>
      </c>
      <c r="V33" s="113"/>
      <c r="W33" s="407">
        <f>'Non-Residential TSM UC'!W33*(Inputs!$C$21)</f>
        <v>134772.53967943575</v>
      </c>
      <c r="X33" s="407">
        <f>'Non-Residential TSM UC'!X33*(Inputs!$C$21)</f>
        <v>956.79196332763956</v>
      </c>
      <c r="Y33" s="41">
        <f t="shared" si="8"/>
        <v>135729.3316427634</v>
      </c>
    </row>
    <row r="34" spans="1:25">
      <c r="A34" s="124" t="s">
        <v>111</v>
      </c>
      <c r="B34" s="113"/>
      <c r="C34" s="98"/>
      <c r="D34" s="98"/>
      <c r="E34" s="41"/>
      <c r="F34" s="113"/>
      <c r="G34" s="98"/>
      <c r="H34" s="23"/>
      <c r="I34" s="41"/>
      <c r="J34" s="109"/>
      <c r="K34" s="23"/>
      <c r="L34" s="23"/>
      <c r="M34" s="41"/>
      <c r="N34" s="113"/>
      <c r="O34" s="98"/>
      <c r="P34" s="98"/>
      <c r="Q34" s="41"/>
      <c r="R34" s="113"/>
      <c r="S34" s="407">
        <f>'Non-Residential TSM UC'!S34*(Inputs!$C$21)</f>
        <v>7772.9285855999342</v>
      </c>
      <c r="T34" s="407">
        <f>'Non-Residential TSM UC'!T34*(Inputs!$C$21)</f>
        <v>956.79196332763956</v>
      </c>
      <c r="U34" s="41">
        <f t="shared" si="7"/>
        <v>8729.720548927573</v>
      </c>
      <c r="V34" s="113"/>
      <c r="W34" s="407">
        <f>'Non-Residential TSM UC'!W34*(Inputs!$C$21)</f>
        <v>134772.53967943575</v>
      </c>
      <c r="X34" s="407">
        <f>'Non-Residential TSM UC'!X34*(Inputs!$C$21)</f>
        <v>956.79196332763956</v>
      </c>
      <c r="Y34" s="41">
        <f t="shared" si="8"/>
        <v>135729.3316427634</v>
      </c>
    </row>
    <row r="35" spans="1:25">
      <c r="A35" s="124" t="s">
        <v>112</v>
      </c>
      <c r="B35" s="113"/>
      <c r="C35" s="98"/>
      <c r="D35" s="23"/>
      <c r="E35" s="41"/>
      <c r="F35" s="113"/>
      <c r="G35" s="98"/>
      <c r="H35" s="23"/>
      <c r="I35" s="41"/>
      <c r="J35" s="109"/>
      <c r="K35" s="23"/>
      <c r="L35" s="23"/>
      <c r="M35" s="41"/>
      <c r="N35" s="113"/>
      <c r="O35" s="98"/>
      <c r="P35" s="23"/>
      <c r="Q35" s="14"/>
      <c r="R35" s="113"/>
      <c r="S35" s="407">
        <f>'Non-Residential TSM UC'!S35*(Inputs!$C$21)</f>
        <v>7772.9285855999342</v>
      </c>
      <c r="T35" s="407">
        <f>'Non-Residential TSM UC'!T35*(Inputs!$C$21)</f>
        <v>956.79196332763956</v>
      </c>
      <c r="U35" s="41">
        <f t="shared" si="7"/>
        <v>8729.720548927573</v>
      </c>
      <c r="V35" s="113"/>
      <c r="W35" s="407">
        <f>'Non-Residential TSM UC'!W35*(Inputs!$C$21)</f>
        <v>134772.53967943575</v>
      </c>
      <c r="X35" s="407">
        <f>'Non-Residential TSM UC'!X35*(Inputs!$C$21)</f>
        <v>956.79196332763956</v>
      </c>
      <c r="Y35" s="41">
        <f t="shared" si="8"/>
        <v>135729.3316427634</v>
      </c>
    </row>
    <row r="36" spans="1:25">
      <c r="A36" s="124" t="s">
        <v>26</v>
      </c>
      <c r="B36" s="113"/>
      <c r="C36" s="98"/>
      <c r="D36" s="23"/>
      <c r="E36" s="41"/>
      <c r="F36" s="113"/>
      <c r="G36" s="98"/>
      <c r="H36" s="23"/>
      <c r="I36" s="41"/>
      <c r="J36" s="109"/>
      <c r="K36" s="23"/>
      <c r="L36" s="23"/>
      <c r="M36" s="41"/>
      <c r="N36" s="113"/>
      <c r="O36" s="98"/>
      <c r="P36" s="23"/>
      <c r="Q36" s="14"/>
      <c r="R36" s="113"/>
      <c r="S36" s="407">
        <f>'Non-Residential TSM UC'!S36*(Inputs!$C$21)</f>
        <v>7772.9285855999342</v>
      </c>
      <c r="T36" s="407">
        <f>'Non-Residential TSM UC'!T36*(Inputs!$C$21)</f>
        <v>956.79196332763956</v>
      </c>
      <c r="U36" s="41">
        <f t="shared" si="7"/>
        <v>8729.720548927573</v>
      </c>
      <c r="V36" s="113"/>
      <c r="W36" s="407">
        <f>'Non-Residential TSM UC'!W36*(Inputs!$C$21)</f>
        <v>134772.53967943575</v>
      </c>
      <c r="X36" s="407">
        <f>'Non-Residential TSM UC'!X36*(Inputs!$C$21)</f>
        <v>956.79196332763956</v>
      </c>
      <c r="Y36" s="41">
        <f t="shared" si="8"/>
        <v>135729.3316427634</v>
      </c>
    </row>
    <row r="37" spans="1:25">
      <c r="A37" s="124" t="s">
        <v>27</v>
      </c>
      <c r="B37" s="113"/>
      <c r="C37" s="98"/>
      <c r="D37" s="13"/>
      <c r="E37" s="14"/>
      <c r="F37" s="113"/>
      <c r="G37" s="98"/>
      <c r="H37" s="13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407">
        <f>'Non-Residential TSM UC'!S37*(Inputs!$C$21)</f>
        <v>7772.9285855999342</v>
      </c>
      <c r="T37" s="407">
        <f>'Non-Residential TSM UC'!T37*(Inputs!$C$21)</f>
        <v>956.79196332763956</v>
      </c>
      <c r="U37" s="41">
        <f t="shared" si="7"/>
        <v>8729.720548927573</v>
      </c>
      <c r="V37" s="113"/>
      <c r="W37" s="407">
        <f>'Non-Residential TSM UC'!W37*(Inputs!$C$21)</f>
        <v>134772.53967943575</v>
      </c>
      <c r="X37" s="407">
        <f>'Non-Residential TSM UC'!X37*(Inputs!$C$21)</f>
        <v>956.79196332763956</v>
      </c>
      <c r="Y37" s="41">
        <f t="shared" si="8"/>
        <v>135729.3316427634</v>
      </c>
    </row>
    <row r="38" spans="1:25" ht="13.5" thickBot="1">
      <c r="A38" s="179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5"/>
      <c r="O38" s="206"/>
      <c r="P38" s="28"/>
      <c r="Q38" s="80"/>
      <c r="R38" s="205"/>
      <c r="S38" s="206"/>
      <c r="T38" s="28"/>
      <c r="U38" s="80"/>
      <c r="V38" s="205"/>
      <c r="W38" s="206"/>
      <c r="X38" s="28"/>
      <c r="Y38" s="80"/>
    </row>
    <row r="39" spans="1:25">
      <c r="A39" s="121"/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420"/>
    </row>
    <row r="40" spans="1:25">
      <c r="A40" s="29" t="s">
        <v>376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76"/>
    </row>
    <row r="41" spans="1:25">
      <c r="A41" s="29"/>
      <c r="B41" s="439" t="s">
        <v>443</v>
      </c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2"/>
      <c r="W41" s="184"/>
      <c r="X41" s="184"/>
      <c r="Y41" s="440"/>
    </row>
    <row r="42" spans="1:25" ht="13.5" thickBot="1">
      <c r="A42" s="15"/>
      <c r="B42" s="438" t="s">
        <v>306</v>
      </c>
      <c r="C42" s="428"/>
      <c r="D42" s="428"/>
      <c r="E42" s="428"/>
      <c r="F42" s="428"/>
      <c r="G42" s="428"/>
      <c r="H42" s="428"/>
      <c r="I42" s="428"/>
      <c r="J42" s="428"/>
      <c r="K42" s="428"/>
      <c r="L42" s="428"/>
      <c r="M42" s="428"/>
      <c r="N42" s="428"/>
      <c r="O42" s="428"/>
      <c r="P42" s="428"/>
      <c r="Q42" s="428"/>
      <c r="R42" s="428"/>
      <c r="S42" s="428"/>
      <c r="T42" s="428"/>
      <c r="U42" s="428"/>
      <c r="V42" s="28"/>
      <c r="W42" s="428"/>
      <c r="X42" s="428"/>
      <c r="Y42" s="431"/>
    </row>
    <row r="43" spans="1:25">
      <c r="B43" s="399"/>
      <c r="C43" s="399"/>
      <c r="D43" s="399"/>
      <c r="E43" s="399"/>
      <c r="F43" s="399"/>
      <c r="G43" s="399"/>
      <c r="H43" s="399"/>
      <c r="I43" s="399"/>
      <c r="J43" s="399"/>
      <c r="K43" s="399"/>
      <c r="L43" s="399"/>
      <c r="M43" s="399"/>
      <c r="N43" s="399"/>
      <c r="O43" s="399"/>
      <c r="P43" s="399"/>
      <c r="Q43" s="399"/>
      <c r="R43" s="399"/>
      <c r="S43" s="399"/>
      <c r="T43" s="399"/>
      <c r="U43" s="399"/>
      <c r="W43" s="399"/>
      <c r="X43" s="399"/>
      <c r="Y43" s="399"/>
    </row>
    <row r="44" spans="1:25">
      <c r="B44" s="399"/>
      <c r="C44" s="399"/>
      <c r="D44" s="399"/>
      <c r="E44" s="399"/>
      <c r="F44" s="399"/>
      <c r="G44" s="399"/>
      <c r="H44" s="399"/>
      <c r="I44" s="399"/>
      <c r="J44" s="399"/>
      <c r="K44" s="399"/>
      <c r="L44" s="399"/>
      <c r="M44" s="399"/>
      <c r="N44" s="399"/>
      <c r="O44" s="399"/>
      <c r="P44" s="399"/>
      <c r="Q44" s="399"/>
      <c r="R44" s="399"/>
      <c r="S44" s="399"/>
      <c r="T44" s="399"/>
      <c r="U44" s="399"/>
      <c r="W44" s="399"/>
      <c r="X44" s="399"/>
      <c r="Y44" s="399"/>
    </row>
    <row r="45" spans="1:25">
      <c r="B45" s="399"/>
      <c r="C45" s="399"/>
      <c r="D45" s="399"/>
      <c r="E45" s="399"/>
      <c r="F45" s="399"/>
      <c r="G45" s="399"/>
      <c r="H45" s="399"/>
      <c r="I45" s="399"/>
      <c r="J45" s="399"/>
      <c r="K45" s="399"/>
      <c r="L45" s="399"/>
      <c r="M45" s="399"/>
      <c r="N45" s="399"/>
      <c r="O45" s="399"/>
      <c r="P45" s="399"/>
      <c r="Q45" s="399"/>
      <c r="R45" s="399"/>
      <c r="S45" s="399"/>
      <c r="T45" s="399"/>
      <c r="U45" s="399"/>
      <c r="W45" s="399"/>
      <c r="X45" s="399"/>
      <c r="Y45" s="399"/>
    </row>
    <row r="46" spans="1:25">
      <c r="B46" s="399"/>
      <c r="C46" s="399"/>
      <c r="D46" s="399"/>
      <c r="E46" s="399"/>
      <c r="F46" s="399"/>
      <c r="G46" s="399"/>
      <c r="H46" s="399"/>
      <c r="I46" s="399"/>
      <c r="J46" s="399"/>
      <c r="K46" s="399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W46" s="399"/>
      <c r="X46" s="399"/>
      <c r="Y46" s="399"/>
    </row>
    <row r="47" spans="1:25" ht="15.75">
      <c r="B47" s="399"/>
      <c r="C47" s="399"/>
      <c r="D47" s="409"/>
      <c r="E47" s="399"/>
      <c r="F47" s="399"/>
      <c r="G47" s="399"/>
      <c r="H47" s="399"/>
      <c r="I47" s="399"/>
      <c r="J47" s="399"/>
      <c r="K47" s="399"/>
      <c r="L47" s="399"/>
      <c r="M47" s="399"/>
      <c r="N47" s="399"/>
      <c r="O47" s="399"/>
      <c r="P47" s="399"/>
      <c r="Q47" s="399"/>
      <c r="R47" s="399"/>
      <c r="S47" s="399"/>
      <c r="T47" s="399"/>
      <c r="U47" s="399"/>
      <c r="W47" s="399"/>
      <c r="X47" s="399"/>
      <c r="Y47" s="399"/>
    </row>
    <row r="48" spans="1:25">
      <c r="B48" s="399"/>
      <c r="C48" s="399"/>
      <c r="D48" s="399"/>
      <c r="E48" s="399"/>
      <c r="F48" s="399"/>
      <c r="G48" s="399"/>
      <c r="H48" s="399"/>
      <c r="I48" s="399"/>
      <c r="J48" s="399"/>
      <c r="K48" s="399"/>
      <c r="L48" s="399"/>
      <c r="M48" s="399"/>
      <c r="N48" s="399"/>
      <c r="O48" s="399"/>
      <c r="P48" s="399"/>
      <c r="Q48" s="399"/>
      <c r="R48" s="399"/>
      <c r="S48" s="399"/>
      <c r="T48" s="399"/>
      <c r="U48" s="399"/>
      <c r="W48" s="399"/>
      <c r="X48" s="399"/>
      <c r="Y48" s="399"/>
    </row>
    <row r="49" spans="2:25">
      <c r="B49" s="399"/>
      <c r="C49" s="399"/>
      <c r="D49" s="399"/>
      <c r="E49" s="399"/>
      <c r="F49" s="399"/>
      <c r="G49" s="399"/>
      <c r="H49" s="399"/>
      <c r="I49" s="399"/>
      <c r="J49" s="399"/>
      <c r="K49" s="399"/>
      <c r="L49" s="399"/>
      <c r="M49" s="399"/>
      <c r="N49" s="399"/>
      <c r="O49" s="399"/>
      <c r="P49" s="399"/>
      <c r="Q49" s="399"/>
      <c r="R49" s="399"/>
      <c r="S49" s="399"/>
      <c r="T49" s="399"/>
      <c r="U49" s="399"/>
      <c r="W49" s="399"/>
      <c r="X49" s="399"/>
      <c r="Y49" s="399"/>
    </row>
    <row r="50" spans="2:25">
      <c r="E50" s="398"/>
      <c r="F50" s="399"/>
      <c r="G50" s="399"/>
      <c r="H50" s="399"/>
      <c r="I50" s="399"/>
      <c r="J50" s="399"/>
      <c r="K50" s="399"/>
      <c r="L50" s="399"/>
      <c r="M50" s="399"/>
      <c r="N50" s="399"/>
      <c r="O50" s="399"/>
      <c r="P50" s="399"/>
      <c r="Q50" s="399"/>
      <c r="R50" s="399"/>
      <c r="S50" s="399"/>
      <c r="T50" s="399"/>
      <c r="U50" s="399"/>
      <c r="W50" s="399"/>
      <c r="X50" s="399"/>
      <c r="Y50" s="399"/>
    </row>
    <row r="51" spans="2:25">
      <c r="E51" s="398"/>
      <c r="F51" s="399"/>
      <c r="G51" s="399"/>
      <c r="H51" s="399"/>
      <c r="I51" s="399"/>
      <c r="J51" s="399"/>
      <c r="K51" s="399"/>
      <c r="L51" s="399"/>
      <c r="M51" s="399"/>
      <c r="N51" s="399"/>
      <c r="O51" s="399"/>
      <c r="P51" s="399"/>
      <c r="Q51" s="399"/>
      <c r="R51" s="399"/>
      <c r="S51" s="399"/>
      <c r="T51" s="399"/>
      <c r="U51" s="399"/>
      <c r="W51" s="399"/>
      <c r="X51" s="399"/>
      <c r="Y51" s="399"/>
    </row>
    <row r="52" spans="2:25">
      <c r="I52" s="398"/>
      <c r="J52" s="399"/>
      <c r="K52" s="399"/>
      <c r="L52" s="399"/>
      <c r="M52" s="399"/>
      <c r="N52" s="399"/>
      <c r="O52" s="399"/>
      <c r="P52" s="399"/>
      <c r="Q52" s="399"/>
      <c r="R52" s="399"/>
      <c r="S52" s="399"/>
      <c r="T52" s="399"/>
      <c r="U52" s="399"/>
      <c r="W52" s="399"/>
      <c r="X52" s="399"/>
      <c r="Y52" s="399"/>
    </row>
    <row r="53" spans="2:25">
      <c r="I53" s="398"/>
      <c r="J53" s="399"/>
      <c r="K53" s="399"/>
      <c r="L53" s="399"/>
      <c r="M53" s="399"/>
      <c r="N53" s="399"/>
      <c r="O53" s="399"/>
      <c r="P53" s="399"/>
      <c r="Q53" s="399"/>
      <c r="R53" s="399"/>
      <c r="S53" s="399"/>
      <c r="T53" s="399"/>
      <c r="U53" s="399"/>
      <c r="W53" s="399"/>
      <c r="X53" s="399"/>
      <c r="Y53" s="399"/>
    </row>
    <row r="54" spans="2:25">
      <c r="I54" s="398"/>
      <c r="J54" s="399"/>
      <c r="K54" s="399"/>
      <c r="L54" s="399"/>
      <c r="M54" s="399"/>
      <c r="N54" s="399"/>
      <c r="O54" s="399"/>
      <c r="P54" s="399"/>
      <c r="Q54" s="399"/>
      <c r="R54" s="399"/>
      <c r="S54" s="399"/>
      <c r="T54" s="399"/>
      <c r="U54" s="399"/>
      <c r="W54" s="399"/>
      <c r="X54" s="399"/>
      <c r="Y54" s="399"/>
    </row>
    <row r="55" spans="2:25">
      <c r="I55" s="398"/>
      <c r="J55" s="399"/>
      <c r="K55" s="399"/>
      <c r="L55" s="399"/>
      <c r="M55" s="399"/>
      <c r="N55" s="399"/>
      <c r="O55" s="399"/>
      <c r="P55" s="399"/>
      <c r="Q55" s="399"/>
      <c r="R55" s="399"/>
      <c r="S55" s="399"/>
      <c r="T55" s="399"/>
      <c r="U55" s="399"/>
      <c r="W55" s="399"/>
      <c r="X55" s="399"/>
      <c r="Y55" s="399"/>
    </row>
    <row r="56" spans="2:25">
      <c r="I56" s="398"/>
      <c r="J56" s="399"/>
      <c r="K56" s="399"/>
      <c r="L56" s="399"/>
      <c r="M56" s="399"/>
      <c r="N56" s="399"/>
      <c r="O56" s="399"/>
      <c r="P56" s="399"/>
      <c r="Q56" s="399"/>
      <c r="R56" s="399"/>
      <c r="S56" s="399"/>
      <c r="T56" s="399"/>
      <c r="U56" s="399"/>
      <c r="W56" s="399"/>
      <c r="X56" s="399"/>
      <c r="Y56" s="399"/>
    </row>
    <row r="57" spans="2:25">
      <c r="I57" s="398"/>
      <c r="J57" s="399"/>
      <c r="K57" s="399"/>
      <c r="L57" s="399"/>
      <c r="M57" s="399"/>
      <c r="N57" s="399"/>
      <c r="O57" s="399"/>
      <c r="P57" s="399"/>
      <c r="Q57" s="399"/>
      <c r="R57" s="399"/>
      <c r="S57" s="399"/>
      <c r="T57" s="399"/>
      <c r="U57" s="399"/>
      <c r="W57" s="399"/>
      <c r="X57" s="399"/>
      <c r="Y57" s="399"/>
    </row>
    <row r="58" spans="2:25">
      <c r="I58" s="398"/>
      <c r="J58" s="399"/>
      <c r="K58" s="399"/>
      <c r="L58" s="399"/>
      <c r="M58" s="399"/>
      <c r="N58" s="399"/>
      <c r="O58" s="399"/>
      <c r="P58" s="399"/>
      <c r="Q58" s="399"/>
      <c r="R58" s="399"/>
      <c r="S58" s="399"/>
      <c r="T58" s="399"/>
      <c r="U58" s="399"/>
      <c r="W58" s="399"/>
      <c r="X58" s="399"/>
      <c r="Y58" s="399"/>
    </row>
    <row r="59" spans="2:25">
      <c r="I59" s="398"/>
      <c r="J59" s="399"/>
      <c r="K59" s="399"/>
      <c r="L59" s="399"/>
      <c r="M59" s="399"/>
      <c r="N59" s="399"/>
      <c r="O59" s="399"/>
      <c r="P59" s="399"/>
      <c r="Q59" s="399"/>
      <c r="R59" s="399"/>
      <c r="S59" s="399"/>
      <c r="T59" s="399"/>
      <c r="U59" s="399"/>
      <c r="W59" s="399"/>
      <c r="X59" s="399"/>
      <c r="Y59" s="399"/>
    </row>
    <row r="60" spans="2:25">
      <c r="I60" s="398"/>
      <c r="J60" s="399"/>
      <c r="K60" s="399"/>
      <c r="L60" s="399"/>
      <c r="M60" s="399"/>
      <c r="N60" s="399"/>
      <c r="O60" s="399"/>
      <c r="P60" s="399"/>
      <c r="Q60" s="399"/>
      <c r="R60" s="399"/>
      <c r="S60" s="399"/>
      <c r="T60" s="399"/>
      <c r="U60" s="399"/>
      <c r="W60" s="399"/>
      <c r="X60" s="399"/>
      <c r="Y60" s="399"/>
    </row>
    <row r="61" spans="2:25">
      <c r="J61" s="399"/>
      <c r="K61" s="399"/>
      <c r="L61" s="399"/>
      <c r="M61" s="399"/>
      <c r="N61" s="399"/>
      <c r="O61" s="399"/>
      <c r="P61" s="399"/>
      <c r="Q61" s="399"/>
      <c r="R61" s="399"/>
      <c r="S61" s="399"/>
      <c r="T61" s="399"/>
      <c r="U61" s="399"/>
      <c r="W61" s="399"/>
      <c r="X61" s="399"/>
      <c r="Y61" s="399"/>
    </row>
    <row r="62" spans="2:25">
      <c r="J62" s="399"/>
      <c r="K62" s="399"/>
      <c r="L62" s="399"/>
      <c r="M62" s="399"/>
      <c r="N62" s="399"/>
      <c r="O62" s="399"/>
      <c r="P62" s="399"/>
      <c r="Q62" s="399"/>
      <c r="R62" s="399"/>
      <c r="S62" s="399"/>
      <c r="T62" s="399"/>
      <c r="U62" s="399"/>
      <c r="W62" s="399"/>
      <c r="X62" s="399"/>
      <c r="Y62" s="399"/>
    </row>
    <row r="63" spans="2:25">
      <c r="M63" s="398"/>
      <c r="N63" s="399"/>
      <c r="O63" s="399"/>
      <c r="P63" s="399"/>
      <c r="Q63" s="399"/>
      <c r="R63" s="399"/>
      <c r="S63" s="399"/>
      <c r="T63" s="399"/>
      <c r="U63" s="399"/>
      <c r="W63" s="399"/>
      <c r="X63" s="399"/>
      <c r="Y63" s="399"/>
    </row>
    <row r="64" spans="2:25">
      <c r="M64" s="398"/>
      <c r="Q64" s="398"/>
      <c r="R64" s="399"/>
      <c r="S64" s="399"/>
      <c r="T64" s="399"/>
      <c r="U64" s="399"/>
      <c r="W64" s="399"/>
      <c r="X64" s="399"/>
      <c r="Y64" s="399"/>
    </row>
    <row r="65" spans="17:25">
      <c r="Q65" s="398"/>
      <c r="R65" s="399"/>
      <c r="S65" s="399"/>
      <c r="T65" s="399"/>
      <c r="U65" s="399"/>
      <c r="W65" s="399"/>
      <c r="X65" s="399"/>
      <c r="Y65" s="399"/>
    </row>
    <row r="66" spans="17:25">
      <c r="Q66" s="398"/>
      <c r="R66" s="399"/>
      <c r="S66" s="399"/>
      <c r="T66" s="399"/>
      <c r="U66" s="399"/>
      <c r="W66" s="399"/>
      <c r="X66" s="399"/>
      <c r="Y66" s="399"/>
    </row>
    <row r="67" spans="17:25">
      <c r="R67" s="399"/>
      <c r="S67" s="399"/>
      <c r="T67" s="399"/>
      <c r="U67" s="399"/>
      <c r="W67" s="399"/>
      <c r="X67" s="399"/>
      <c r="Y67" s="399"/>
    </row>
    <row r="68" spans="17:25">
      <c r="R68" s="399"/>
      <c r="S68" s="399"/>
      <c r="T68" s="399"/>
      <c r="U68" s="399"/>
      <c r="W68" s="399"/>
      <c r="X68" s="399"/>
      <c r="Y68" s="399"/>
    </row>
    <row r="69" spans="17:25">
      <c r="R69" s="399"/>
      <c r="S69" s="399"/>
      <c r="T69" s="399"/>
      <c r="U69" s="399"/>
      <c r="W69" s="399"/>
      <c r="X69" s="399"/>
      <c r="Y69" s="399"/>
    </row>
    <row r="70" spans="17:25">
      <c r="R70" s="399"/>
      <c r="S70" s="399"/>
      <c r="T70" s="399"/>
      <c r="U70" s="399"/>
      <c r="W70" s="399"/>
      <c r="X70" s="399"/>
      <c r="Y70" s="399"/>
    </row>
    <row r="71" spans="17:25">
      <c r="R71" s="399"/>
      <c r="S71" s="399"/>
      <c r="T71" s="399"/>
      <c r="U71" s="399"/>
      <c r="W71" s="399"/>
      <c r="X71" s="399"/>
      <c r="Y71" s="399"/>
    </row>
    <row r="72" spans="17:25">
      <c r="U72" s="398"/>
    </row>
    <row r="73" spans="17:25">
      <c r="U73" s="398"/>
    </row>
  </sheetData>
  <mergeCells count="10">
    <mergeCell ref="A1:Y1"/>
    <mergeCell ref="V2:Y2"/>
    <mergeCell ref="V3:Y3"/>
    <mergeCell ref="R3:U3"/>
    <mergeCell ref="R2:U2"/>
    <mergeCell ref="B3:E3"/>
    <mergeCell ref="F3:I3"/>
    <mergeCell ref="J3:M3"/>
    <mergeCell ref="N3:Q3"/>
    <mergeCell ref="B2:Q2"/>
  </mergeCells>
  <phoneticPr fontId="0" type="noConversion"/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DB450-90CE-4190-8216-043F716E7318}">
  <sheetPr>
    <tabColor theme="9"/>
    <pageSetUpPr fitToPage="1"/>
  </sheetPr>
  <dimension ref="A1:N56"/>
  <sheetViews>
    <sheetView topLeftCell="A8" zoomScaleNormal="100" workbookViewId="0">
      <selection activeCell="L31" sqref="L29:L33"/>
    </sheetView>
  </sheetViews>
  <sheetFormatPr defaultRowHeight="12.75"/>
  <cols>
    <col min="1" max="1" width="40.85546875" customWidth="1"/>
    <col min="2" max="2" width="10.28515625" customWidth="1"/>
    <col min="3" max="4" width="10.28515625" style="12" customWidth="1"/>
    <col min="5" max="5" width="10.85546875" style="12" customWidth="1"/>
    <col min="6" max="6" width="9.28515625" style="12" customWidth="1"/>
    <col min="7" max="7" width="10.28515625" style="12" customWidth="1"/>
    <col min="8" max="10" width="10.28515625" customWidth="1"/>
    <col min="11" max="11" width="8.7109375" customWidth="1"/>
  </cols>
  <sheetData>
    <row r="1" spans="1:14" ht="18.75" thickBot="1">
      <c r="A1" s="741" t="s">
        <v>408</v>
      </c>
      <c r="B1" s="741"/>
      <c r="C1" s="741"/>
      <c r="D1" s="741"/>
      <c r="E1" s="741"/>
      <c r="F1" s="741"/>
      <c r="G1" s="741"/>
      <c r="H1" s="741"/>
      <c r="I1" s="741"/>
      <c r="J1" s="741"/>
    </row>
    <row r="2" spans="1:14" ht="13.5" thickBot="1">
      <c r="A2" s="596"/>
      <c r="B2" s="742" t="s">
        <v>0</v>
      </c>
      <c r="C2" s="743"/>
      <c r="D2" s="744"/>
      <c r="E2" s="743" t="s">
        <v>1</v>
      </c>
      <c r="F2" s="743"/>
      <c r="G2" s="744"/>
      <c r="H2" s="743" t="s">
        <v>406</v>
      </c>
      <c r="I2" s="743"/>
      <c r="J2" s="744"/>
    </row>
    <row r="3" spans="1:14" ht="13.5" thickBot="1">
      <c r="A3" s="597" t="s">
        <v>47</v>
      </c>
      <c r="B3" s="593" t="s">
        <v>193</v>
      </c>
      <c r="C3" s="594" t="s">
        <v>141</v>
      </c>
      <c r="D3" s="595" t="s">
        <v>135</v>
      </c>
      <c r="E3" s="594" t="s">
        <v>193</v>
      </c>
      <c r="F3" s="594" t="s">
        <v>141</v>
      </c>
      <c r="G3" s="595" t="s">
        <v>136</v>
      </c>
      <c r="H3" s="594" t="s">
        <v>193</v>
      </c>
      <c r="I3" s="594" t="s">
        <v>141</v>
      </c>
      <c r="J3" s="595" t="s">
        <v>2</v>
      </c>
    </row>
    <row r="4" spans="1:14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4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4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4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4">
      <c r="A8" s="36" t="s">
        <v>53</v>
      </c>
      <c r="B8" s="115">
        <f>('Resid TSM Sum by Rate Schedule'!L8*'Marg Cust Cost by Rate Schedule'!$AF$3+'Small Comm TSM Summary'!F8*'Marg Cust Cost by Rate Schedule'!$Z$14+'Agric TSM Summary'!B8*'Marg Cust Cost by Rate Schedule'!$X$61)/'Marg Cust Cost by Rate Schedule'!$V$84</f>
        <v>2873.2166365418771</v>
      </c>
      <c r="C8" s="134">
        <f>('M-L C&amp;I TSM Summary'!E8*'Marg Cust Cost by Rate Schedule'!$Z$37+'Agric TSM Summary'!C8*'Marg Cust Cost by Rate Schedule'!$X$62)/'Marg Cust Cost by Rate Schedule'!$V$85</f>
        <v>12538.540856580365</v>
      </c>
      <c r="D8" s="40">
        <f>(B8*'Marg Cust Cost by Rate Schedule'!$V$84+'School Class TSM Summary '!C8*'Marg Cust Cost by Rate Schedule'!$V$85)/'Marg Cust Cost by Rate Schedule'!$V$86</f>
        <v>8522.1858338668753</v>
      </c>
      <c r="E8" s="115"/>
      <c r="F8" s="134">
        <f>'M-L C&amp;I TSM Summary'!I8</f>
        <v>0</v>
      </c>
      <c r="G8" s="40">
        <f>(E8*'Marg Cust Cost by Rate Schedule'!$V$88+F8*'Marg Cust Cost by Rate Schedule'!$V$89)/'Marg Cust Cost by Rate Schedule'!$V$90</f>
        <v>0</v>
      </c>
      <c r="H8" s="115">
        <f>B8</f>
        <v>2873.2166365418771</v>
      </c>
      <c r="I8" s="134">
        <f>(C8*'Marg Cust Cost by Rate Schedule'!$V$85+'School Class TSM Summary '!F8*'Marg Cust Cost by Rate Schedule'!$V$89)/'Marg Cust Cost by Rate Schedule'!$V$94</f>
        <v>11775.100288429445</v>
      </c>
      <c r="J8" s="44">
        <f>(H8*'Marg Cust Cost by Rate Schedule'!$V$93+'School Class TSM Summary '!I8*'Marg Cust Cost by Rate Schedule'!$V$94)/'Marg Cust Cost by Rate Schedule'!$V$95</f>
        <v>8211.0416728531727</v>
      </c>
      <c r="N8" s="31"/>
    </row>
    <row r="9" spans="1:14">
      <c r="A9" s="36" t="s">
        <v>51</v>
      </c>
      <c r="B9" s="115">
        <f>('Resid TSM Sum by Rate Schedule'!L9*'Marg Cust Cost by Rate Schedule'!$AF$3+'Small Comm TSM Summary'!F9*'Marg Cust Cost by Rate Schedule'!$Z$14+'Agric TSM Summary'!B9*'Marg Cust Cost by Rate Schedule'!$X$61)/'Marg Cust Cost by Rate Schedule'!$V$84</f>
        <v>495.2140600716674</v>
      </c>
      <c r="C9" s="134">
        <f>('M-L C&amp;I TSM Summary'!E9*'Marg Cust Cost by Rate Schedule'!$Z$37+'Agric TSM Summary'!C9*'Marg Cust Cost by Rate Schedule'!$X$62)/'Marg Cust Cost by Rate Schedule'!$V$85</f>
        <v>2527.6210413834719</v>
      </c>
      <c r="D9" s="40">
        <f>(B9*'Marg Cust Cost by Rate Schedule'!$V$84+'School Class TSM Summary '!C9*'Marg Cust Cost by Rate Schedule'!$V$85)/'Marg Cust Cost by Rate Schedule'!$V$86</f>
        <v>1683.0691358544175</v>
      </c>
      <c r="E9" s="115"/>
      <c r="F9" s="134">
        <f>'M-L C&amp;I TSM Summary'!I9</f>
        <v>3129.9273129422199</v>
      </c>
      <c r="G9" s="40">
        <f>(E9*'Marg Cust Cost by Rate Schedule'!$V$88+F9*'Marg Cust Cost by Rate Schedule'!$V$89)/'Marg Cust Cost by Rate Schedule'!$V$90</f>
        <v>3129.9273129422199</v>
      </c>
      <c r="H9" s="115">
        <f t="shared" ref="H9:H10" si="0">B9</f>
        <v>495.2140600716674</v>
      </c>
      <c r="I9" s="134">
        <f>(C9*'Marg Cust Cost by Rate Schedule'!$V$85+'School Class TSM Summary '!F9*'Marg Cust Cost by Rate Schedule'!$V$89)/'Marg Cust Cost by Rate Schedule'!$V$94</f>
        <v>2564.2939722626943</v>
      </c>
      <c r="J9" s="44">
        <f>(H9*'Marg Cust Cost by Rate Schedule'!$V$93+'School Class TSM Summary '!I9*'Marg Cust Cost by Rate Schedule'!$V$94)/'Marg Cust Cost by Rate Schedule'!$V$95</f>
        <v>1735.8937846466085</v>
      </c>
      <c r="N9" s="31"/>
    </row>
    <row r="10" spans="1:14">
      <c r="A10" s="36" t="s">
        <v>52</v>
      </c>
      <c r="B10" s="115">
        <f>('Resid TSM Sum by Rate Schedule'!L10*'Marg Cust Cost by Rate Schedule'!$AF$3+'Small Comm TSM Summary'!F10*'Marg Cust Cost by Rate Schedule'!$Z$14+'Agric TSM Summary'!B10*'Marg Cust Cost by Rate Schedule'!$X$61)/'Marg Cust Cost by Rate Schedule'!$V$84</f>
        <v>273.06299101797623</v>
      </c>
      <c r="C10" s="134">
        <f>('M-L C&amp;I TSM Summary'!E10*'Marg Cust Cost by Rate Schedule'!$Z$37+'Agric TSM Summary'!C10*'Marg Cust Cost by Rate Schedule'!$X$62)/'Marg Cust Cost by Rate Schedule'!$V$85</f>
        <v>658.41064982585158</v>
      </c>
      <c r="D10" s="40">
        <f>(B10*'Marg Cust Cost by Rate Schedule'!$V$84+'School Class TSM Summary '!C10*'Marg Cust Cost by Rate Schedule'!$V$85)/'Marg Cust Cost by Rate Schedule'!$V$86</f>
        <v>498.28223926150008</v>
      </c>
      <c r="E10" s="115"/>
      <c r="F10" s="134">
        <f>'M-L C&amp;I TSM Summary'!I10</f>
        <v>951.63100300729468</v>
      </c>
      <c r="G10" s="40">
        <f>(E10*'Marg Cust Cost by Rate Schedule'!$V$88+F10*'Marg Cust Cost by Rate Schedule'!$V$89)/'Marg Cust Cost by Rate Schedule'!$V$90</f>
        <v>951.63100300729468</v>
      </c>
      <c r="H10" s="115">
        <f t="shared" si="0"/>
        <v>273.06299101797623</v>
      </c>
      <c r="I10" s="134">
        <f>(C10*'Marg Cust Cost by Rate Schedule'!$V$85+'School Class TSM Summary '!F10*'Marg Cust Cost by Rate Schedule'!$V$89)/'Marg Cust Cost by Rate Schedule'!$V$94</f>
        <v>676.26410786269901</v>
      </c>
      <c r="J10" s="44">
        <f>(H10*'Marg Cust Cost by Rate Schedule'!$V$93+'School Class TSM Summary '!I10*'Marg Cust Cost by Rate Schedule'!$V$94)/'Marg Cust Cost by Rate Schedule'!$V$95</f>
        <v>514.83395773984284</v>
      </c>
      <c r="N10" s="31"/>
    </row>
    <row r="11" spans="1:14">
      <c r="A11" s="38"/>
      <c r="B11" s="114"/>
      <c r="C11" s="30"/>
      <c r="D11" s="40"/>
      <c r="E11" s="114"/>
      <c r="F11" s="30"/>
      <c r="G11" s="40"/>
      <c r="H11" s="114"/>
      <c r="I11" s="30"/>
      <c r="J11" s="40"/>
      <c r="N11" s="31"/>
    </row>
    <row r="12" spans="1:14">
      <c r="A12" s="36" t="s">
        <v>35</v>
      </c>
      <c r="B12" s="114">
        <f t="shared" ref="B12:J12" si="1">SUM(B8:B10)</f>
        <v>3641.493687631521</v>
      </c>
      <c r="C12" s="30">
        <f t="shared" si="1"/>
        <v>15724.572547789689</v>
      </c>
      <c r="D12" s="40">
        <f t="shared" si="1"/>
        <v>10703.537208982792</v>
      </c>
      <c r="E12" s="114"/>
      <c r="F12" s="30">
        <f t="shared" ref="F12:G12" si="2">SUM(F8:F10)</f>
        <v>4081.5583159495145</v>
      </c>
      <c r="G12" s="40">
        <f t="shared" si="2"/>
        <v>4081.5583159495145</v>
      </c>
      <c r="H12" s="114">
        <f t="shared" si="1"/>
        <v>3641.493687631521</v>
      </c>
      <c r="I12" s="30">
        <f t="shared" si="1"/>
        <v>15015.658368554838</v>
      </c>
      <c r="J12" s="40">
        <f t="shared" si="1"/>
        <v>10461.769415239625</v>
      </c>
      <c r="N12" s="31"/>
    </row>
    <row r="13" spans="1:14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4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4">
      <c r="A15" s="47">
        <f>Inputs!C3</f>
        <v>2.7723662892949787E-2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4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3">
      <c r="A17" s="47">
        <f>Inputs!C4</f>
        <v>1.5023E-2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3">
      <c r="A18" s="94" t="s">
        <v>97</v>
      </c>
      <c r="B18" s="114">
        <f t="shared" ref="B18:J20" si="3">(B8*(1+$A$15)*(1+$A$17))</f>
        <v>2997.2337329543539</v>
      </c>
      <c r="C18" s="30">
        <f t="shared" si="3"/>
        <v>13079.74384507268</v>
      </c>
      <c r="D18" s="40">
        <f t="shared" si="3"/>
        <v>8890.0302660485577</v>
      </c>
      <c r="E18" s="114"/>
      <c r="F18" s="30">
        <f t="shared" ref="F18:G18" si="4">(F8*(1+$A$15)*(1+$A$17))</f>
        <v>0</v>
      </c>
      <c r="G18" s="30">
        <f t="shared" si="4"/>
        <v>0</v>
      </c>
      <c r="H18" s="114">
        <f t="shared" si="3"/>
        <v>2997.2337329543539</v>
      </c>
      <c r="I18" s="30">
        <f t="shared" si="3"/>
        <v>12283.350772978472</v>
      </c>
      <c r="J18" s="40">
        <f t="shared" si="3"/>
        <v>8565.4561412361436</v>
      </c>
    </row>
    <row r="19" spans="1:13">
      <c r="A19" s="94" t="s">
        <v>51</v>
      </c>
      <c r="B19" s="114">
        <f t="shared" si="3"/>
        <v>516.58906154271529</v>
      </c>
      <c r="C19" s="30">
        <f t="shared" si="3"/>
        <v>2636.7211413887189</v>
      </c>
      <c r="D19" s="40">
        <f t="shared" si="3"/>
        <v>1755.7157106498848</v>
      </c>
      <c r="E19" s="114"/>
      <c r="F19" s="30">
        <f t="shared" ref="F19:G19" si="5">(F9*(1+$A$15)*(1+$A$17))</f>
        <v>3265.0248521936919</v>
      </c>
      <c r="G19" s="30">
        <f t="shared" si="5"/>
        <v>3265.0248521936919</v>
      </c>
      <c r="H19" s="114">
        <f t="shared" si="3"/>
        <v>516.58906154271529</v>
      </c>
      <c r="I19" s="30">
        <f t="shared" si="3"/>
        <v>2674.9769916854107</v>
      </c>
      <c r="J19" s="40">
        <f t="shared" si="3"/>
        <v>1810.820437971101</v>
      </c>
    </row>
    <row r="20" spans="1:13">
      <c r="A20" s="94" t="s">
        <v>52</v>
      </c>
      <c r="B20" s="114">
        <f t="shared" si="3"/>
        <v>284.84925135528022</v>
      </c>
      <c r="C20" s="30">
        <f t="shared" si="3"/>
        <v>686.82973107436158</v>
      </c>
      <c r="D20" s="40">
        <f t="shared" si="3"/>
        <v>519.78967302796104</v>
      </c>
      <c r="E20" s="114"/>
      <c r="F20" s="30">
        <f t="shared" ref="F20:G20" si="6">(F10*(1+$A$15)*(1+$A$17))</f>
        <v>992.70639995024897</v>
      </c>
      <c r="G20" s="30">
        <f t="shared" si="6"/>
        <v>992.70639995024897</v>
      </c>
      <c r="H20" s="114">
        <f t="shared" si="3"/>
        <v>284.84925135528022</v>
      </c>
      <c r="I20" s="30">
        <f t="shared" si="3"/>
        <v>705.4538006963196</v>
      </c>
      <c r="J20" s="40">
        <f t="shared" si="3"/>
        <v>537.05581590445547</v>
      </c>
    </row>
    <row r="21" spans="1:13">
      <c r="A21" s="36"/>
      <c r="B21" s="119"/>
      <c r="C21" s="73"/>
      <c r="D21" s="75"/>
      <c r="E21" s="119"/>
      <c r="F21" s="73"/>
      <c r="G21" s="73"/>
      <c r="H21" s="119"/>
      <c r="I21" s="73"/>
      <c r="J21" s="75"/>
    </row>
    <row r="22" spans="1:13">
      <c r="A22" s="36" t="s">
        <v>35</v>
      </c>
      <c r="B22" s="119">
        <f t="shared" ref="B22:J22" si="7">B18+B19+B20</f>
        <v>3798.6720458523491</v>
      </c>
      <c r="C22" s="73">
        <f t="shared" si="7"/>
        <v>16403.294717535762</v>
      </c>
      <c r="D22" s="75">
        <f t="shared" si="7"/>
        <v>11165.535649726404</v>
      </c>
      <c r="E22" s="119"/>
      <c r="F22" s="73">
        <f t="shared" ref="F22" si="8">F18+F19+F20</f>
        <v>4257.7312521439408</v>
      </c>
      <c r="G22" s="73">
        <f t="shared" ref="G22" si="9">G18+G19+G20</f>
        <v>4257.7312521439408</v>
      </c>
      <c r="H22" s="119">
        <f t="shared" si="7"/>
        <v>3798.6720458523491</v>
      </c>
      <c r="I22" s="73">
        <f t="shared" si="7"/>
        <v>15663.781565360203</v>
      </c>
      <c r="J22" s="75">
        <f t="shared" si="7"/>
        <v>10913.3323951117</v>
      </c>
    </row>
    <row r="23" spans="1:13">
      <c r="A23" s="36"/>
      <c r="B23" s="114"/>
      <c r="C23" s="30"/>
      <c r="D23" s="40"/>
      <c r="E23" s="114"/>
      <c r="F23" s="30"/>
      <c r="G23" s="30"/>
      <c r="H23" s="114"/>
      <c r="I23" s="30"/>
      <c r="J23" s="40"/>
    </row>
    <row r="24" spans="1:13">
      <c r="A24" s="719" t="str">
        <f>'Resid TSM Sum by Rate Schedule'!A25</f>
        <v>Annualized Transformer Cost at 8.05%</v>
      </c>
      <c r="B24" s="119">
        <f>B18*Inputs!$C$5</f>
        <v>241.2133621285447</v>
      </c>
      <c r="C24" s="73">
        <f>C18*Inputs!$C$5</f>
        <v>1052.6402909326155</v>
      </c>
      <c r="D24" s="75">
        <f>D18*Inputs!$C$5</f>
        <v>715.45774569418654</v>
      </c>
      <c r="E24" s="119"/>
      <c r="F24" s="73">
        <f>F18*Inputs!$C$5</f>
        <v>0</v>
      </c>
      <c r="G24" s="73">
        <f>G18*Inputs!$C$5</f>
        <v>0</v>
      </c>
      <c r="H24" s="119">
        <f>H18*Inputs!$C$5</f>
        <v>241.2133621285447</v>
      </c>
      <c r="I24" s="73">
        <f>I18*Inputs!$C$5</f>
        <v>988.54764163950483</v>
      </c>
      <c r="J24" s="75">
        <f>J18*Inputs!$C$5</f>
        <v>689.33645423629252</v>
      </c>
    </row>
    <row r="25" spans="1:13">
      <c r="A25" s="719" t="str">
        <f>'Resid TSM Sum by Rate Schedule'!A26</f>
        <v>Annualized Services Cost at 7.08%</v>
      </c>
      <c r="B25" s="119">
        <f>B19*Inputs!$C$6</f>
        <v>36.56162179593013</v>
      </c>
      <c r="C25" s="73">
        <f>C19*Inputs!$C$6</f>
        <v>186.61409683142563</v>
      </c>
      <c r="D25" s="75">
        <f>D19*Inputs!$C$6</f>
        <v>124.26088466189087</v>
      </c>
      <c r="E25" s="119"/>
      <c r="F25" s="73">
        <f>F19*Inputs!$C$6</f>
        <v>231.08232962526191</v>
      </c>
      <c r="G25" s="73">
        <f>G19*Inputs!$C$6</f>
        <v>231.08232962526191</v>
      </c>
      <c r="H25" s="119">
        <f>H19*Inputs!$C$6</f>
        <v>36.56162179593013</v>
      </c>
      <c r="I25" s="73">
        <f>I19*Inputs!$C$6</f>
        <v>189.32165692929601</v>
      </c>
      <c r="J25" s="75">
        <f>J19*Inputs!$C$6</f>
        <v>128.16092504112288</v>
      </c>
    </row>
    <row r="26" spans="1:13" ht="15">
      <c r="A26" s="719" t="str">
        <f>'Resid TSM Sum by Rate Schedule'!A27</f>
        <v>Annualized Meter Cost at 10.78%</v>
      </c>
      <c r="B26" s="465">
        <f>B20*Inputs!$C$7</f>
        <v>30.69719241756443</v>
      </c>
      <c r="C26" s="464">
        <f>C20*Inputs!$C$7</f>
        <v>74.017201423488601</v>
      </c>
      <c r="D26" s="463">
        <f>D20*Inputs!$C$7</f>
        <v>56.015887469196414</v>
      </c>
      <c r="E26" s="465"/>
      <c r="F26" s="464">
        <f>F20*Inputs!$C$7</f>
        <v>106.98044396617505</v>
      </c>
      <c r="G26" s="464">
        <f>G20*Inputs!$C$7</f>
        <v>106.98044396617505</v>
      </c>
      <c r="H26" s="465">
        <f>H20*Inputs!$C$7</f>
        <v>30.69719241756443</v>
      </c>
      <c r="I26" s="464">
        <f>I20*Inputs!$C$7</f>
        <v>76.024251279028846</v>
      </c>
      <c r="J26" s="463">
        <f>J20*Inputs!$C$7</f>
        <v>57.876598380905413</v>
      </c>
    </row>
    <row r="27" spans="1:13">
      <c r="A27" s="86" t="s">
        <v>312</v>
      </c>
      <c r="B27" s="119">
        <f>SUM(B24:B26)</f>
        <v>308.47217634203929</v>
      </c>
      <c r="C27" s="73">
        <f t="shared" ref="C27:J27" si="10">SUM(C24:C26)</f>
        <v>1313.2715891875296</v>
      </c>
      <c r="D27" s="75">
        <f t="shared" si="10"/>
        <v>895.73451782527377</v>
      </c>
      <c r="E27" s="119"/>
      <c r="F27" s="73">
        <f t="shared" ref="F27" si="11">SUM(F24:F26)</f>
        <v>338.06277359143695</v>
      </c>
      <c r="G27" s="73">
        <f t="shared" ref="G27" si="12">SUM(G24:G26)</f>
        <v>338.06277359143695</v>
      </c>
      <c r="H27" s="119">
        <f t="shared" si="10"/>
        <v>308.47217634203929</v>
      </c>
      <c r="I27" s="73">
        <f t="shared" si="10"/>
        <v>1253.8935498478297</v>
      </c>
      <c r="J27" s="75">
        <f t="shared" si="10"/>
        <v>875.37397765832077</v>
      </c>
    </row>
    <row r="28" spans="1:13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3">
      <c r="A29" s="36" t="s">
        <v>50</v>
      </c>
      <c r="B29" s="115">
        <f>('Resid TSM Sum by Rate Schedule'!L30*'Marg Cust Cost by Rate Schedule'!$AF$3+'Small Comm TSM Summary'!F30*'Marg Cust Cost by Rate Schedule'!$Z$14+'Agric TSM Summary'!B29*'Marg Cust Cost by Rate Schedule'!$X$61)/'Marg Cust Cost by Rate Schedule'!$V$84</f>
        <v>122.81501711753285</v>
      </c>
      <c r="C29" s="134">
        <f>('M-L C&amp;I TSM Summary'!B29*'Marg Cust Cost by Rate Schedule'!$Z$37+'Agric TSM Summary'!C29*'Marg Cust Cost by Rate Schedule'!$X$62)/'Marg Cust Cost by Rate Schedule'!$V$85</f>
        <v>527.58421802833709</v>
      </c>
      <c r="D29" s="40">
        <f>(B29*'Marg Cust Cost by Rate Schedule'!$V$84+'School Class TSM Summary '!C29*'Marg Cust Cost by Rate Schedule'!$V$85)/'Marg Cust Cost by Rate Schedule'!$V$86</f>
        <v>359.38532721954437</v>
      </c>
      <c r="E29" s="115"/>
      <c r="F29" s="134">
        <f>'M-L C&amp;I TSM Summary'!I29</f>
        <v>137.04397908564545</v>
      </c>
      <c r="G29" s="40">
        <f>(E29*'Marg Cust Cost by Rate Schedule'!$V$88+F29*'Marg Cust Cost by Rate Schedule'!$V$89)/'Marg Cust Cost by Rate Schedule'!$V$90</f>
        <v>137.04397908564545</v>
      </c>
      <c r="H29" s="119">
        <f>B29</f>
        <v>122.81501711753285</v>
      </c>
      <c r="I29" s="134">
        <f>(C29*'Marg Cust Cost by Rate Schedule'!$V$85+'School Class TSM Summary '!F29*'Marg Cust Cost by Rate Schedule'!$V$89)/'Marg Cust Cost by Rate Schedule'!$V$94</f>
        <v>503.80519419178518</v>
      </c>
      <c r="J29" s="44">
        <f>(H29*'Marg Cust Cost by Rate Schedule'!$V$93+'School Class TSM Summary '!I29*'Marg Cust Cost by Rate Schedule'!$V$94)/'Marg Cust Cost by Rate Schedule'!$V$95</f>
        <v>351.26766661317055</v>
      </c>
      <c r="L29" s="31"/>
      <c r="M29" s="31"/>
    </row>
    <row r="30" spans="1:13">
      <c r="A30" s="11"/>
      <c r="B30" s="10"/>
      <c r="C30" s="27"/>
      <c r="D30" s="81"/>
      <c r="E30" s="10"/>
      <c r="F30" s="27"/>
      <c r="G30" s="81"/>
      <c r="H30" s="119"/>
      <c r="I30" s="134"/>
      <c r="J30" s="75"/>
      <c r="L30" s="31"/>
      <c r="M30" s="31"/>
    </row>
    <row r="31" spans="1:13">
      <c r="A31" s="36" t="s">
        <v>57</v>
      </c>
      <c r="B31" s="115">
        <f>('Resid TSM Sum by Rate Schedule'!L32*'Marg Cust Cost by Rate Schedule'!$AF$3+'Small Comm TSM Summary'!F32*'Marg Cust Cost by Rate Schedule'!$Z$14+'Agric TSM Summary'!B31*'Marg Cust Cost by Rate Schedule'!$X$61)/'Marg Cust Cost by Rate Schedule'!$V$84</f>
        <v>52.793986227617332</v>
      </c>
      <c r="C31" s="134">
        <f>('M-L C&amp;I TSM Summary'!B31*'Marg Cust Cost by Rate Schedule'!$Z$37+'Agric TSM Summary'!C31*'Marg Cust Cost by Rate Schedule'!$X$62)/'Marg Cust Cost by Rate Schedule'!$V$85</f>
        <v>447.53400682352839</v>
      </c>
      <c r="D31" s="40">
        <f>(B31*'Marg Cust Cost by Rate Schedule'!$V$84+'School Class TSM Summary '!C31*'Marg Cust Cost by Rate Schedule'!$V$85)/'Marg Cust Cost by Rate Schedule'!$V$86</f>
        <v>283.5026687852789</v>
      </c>
      <c r="E31" s="164"/>
      <c r="F31" s="134">
        <f>'M-L C&amp;I TSM Summary'!I31</f>
        <v>447.86258547437512</v>
      </c>
      <c r="G31" s="40">
        <f>(E31*'Marg Cust Cost by Rate Schedule'!$V$88+F31*'Marg Cust Cost by Rate Schedule'!$V$89)/'Marg Cust Cost by Rate Schedule'!$V$90</f>
        <v>447.86258547437512</v>
      </c>
      <c r="H31" s="119">
        <f t="shared" ref="H31" si="13">B31</f>
        <v>52.793986227617332</v>
      </c>
      <c r="I31" s="134">
        <f>(C31*'Marg Cust Cost by Rate Schedule'!$V$85+'School Class TSM Summary '!F31*'Marg Cust Cost by Rate Schedule'!$V$89)/'Marg Cust Cost by Rate Schedule'!$V$94</f>
        <v>447.55401316037046</v>
      </c>
      <c r="J31" s="44">
        <f>(H31*'Marg Cust Cost by Rate Schedule'!$V$93+'School Class TSM Summary '!I31*'Marg Cust Cost by Rate Schedule'!$V$94)/'Marg Cust Cost by Rate Schedule'!$V$95</f>
        <v>289.5034330703387</v>
      </c>
      <c r="L31" s="31"/>
      <c r="M31" s="31"/>
    </row>
    <row r="32" spans="1:13" ht="13.5" thickBot="1">
      <c r="A32" s="11"/>
      <c r="B32" s="116"/>
      <c r="C32" s="87"/>
      <c r="D32" s="88"/>
      <c r="E32" s="116"/>
      <c r="F32" s="87"/>
      <c r="G32" s="88"/>
      <c r="H32" s="116"/>
      <c r="I32" s="87"/>
      <c r="J32" s="88"/>
      <c r="L32" s="31"/>
    </row>
    <row r="33" spans="1:12" ht="13.5" thickBot="1">
      <c r="A33" s="281" t="s">
        <v>410</v>
      </c>
      <c r="B33" s="282">
        <f t="shared" ref="B33:J33" si="14">B27+B29+B31</f>
        <v>484.08117968718943</v>
      </c>
      <c r="C33" s="283">
        <f t="shared" si="14"/>
        <v>2288.3898140393949</v>
      </c>
      <c r="D33" s="294">
        <f t="shared" si="14"/>
        <v>1538.6225138300972</v>
      </c>
      <c r="E33" s="282"/>
      <c r="F33" s="283">
        <f t="shared" ref="F33:G33" si="15">F27+F29+F31</f>
        <v>922.96933815145758</v>
      </c>
      <c r="G33" s="294">
        <f t="shared" si="15"/>
        <v>922.96933815145758</v>
      </c>
      <c r="H33" s="282">
        <f t="shared" si="14"/>
        <v>484.08117968718943</v>
      </c>
      <c r="I33" s="283">
        <f t="shared" si="14"/>
        <v>2205.2527571999854</v>
      </c>
      <c r="J33" s="294">
        <f t="shared" si="14"/>
        <v>1516.1450773418301</v>
      </c>
      <c r="L33" s="31"/>
    </row>
    <row r="34" spans="1:12" ht="13.5" thickBot="1">
      <c r="A34" s="11"/>
      <c r="B34" s="13"/>
      <c r="C34" s="13"/>
      <c r="D34" s="13"/>
      <c r="E34" s="13"/>
      <c r="F34" s="13"/>
      <c r="G34" s="13"/>
      <c r="H34" s="12"/>
      <c r="I34" s="12"/>
      <c r="J34" s="76"/>
    </row>
    <row r="35" spans="1:12" ht="13.5" thickBot="1">
      <c r="A35" s="600" t="s">
        <v>411</v>
      </c>
      <c r="B35" s="601"/>
      <c r="C35" s="602"/>
      <c r="D35" s="602"/>
      <c r="E35" s="602"/>
      <c r="F35" s="602"/>
      <c r="G35" s="602"/>
      <c r="H35" s="602"/>
      <c r="I35" s="602"/>
      <c r="J35" s="603">
        <f>'Street Light Cust Cost Summary'!B40</f>
        <v>12.180829080183774</v>
      </c>
    </row>
    <row r="36" spans="1:12">
      <c r="A36" t="s">
        <v>3</v>
      </c>
    </row>
    <row r="44" spans="1:12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 codeName="Sheet66"/>
  <dimension ref="A1:AL65"/>
  <sheetViews>
    <sheetView topLeftCell="S1" zoomScale="75" zoomScaleNormal="75" workbookViewId="0">
      <selection activeCell="AH7" sqref="AH7"/>
    </sheetView>
  </sheetViews>
  <sheetFormatPr defaultRowHeight="12.75"/>
  <cols>
    <col min="1" max="1" width="27" bestFit="1" customWidth="1"/>
    <col min="2" max="2" width="13.28515625" bestFit="1" customWidth="1"/>
    <col min="3" max="3" width="9.28515625" bestFit="1" customWidth="1"/>
    <col min="4" max="5" width="6.5703125" bestFit="1" customWidth="1"/>
    <col min="6" max="6" width="8.140625" bestFit="1" customWidth="1"/>
    <col min="7" max="7" width="10.42578125" bestFit="1" customWidth="1"/>
    <col min="8" max="8" width="10.42578125" customWidth="1"/>
    <col min="9" max="9" width="10.28515625" bestFit="1" customWidth="1"/>
    <col min="10" max="10" width="10" bestFit="1" customWidth="1"/>
    <col min="11" max="11" width="12.7109375" bestFit="1" customWidth="1"/>
    <col min="12" max="12" width="13.7109375" bestFit="1" customWidth="1"/>
    <col min="13" max="14" width="11.140625" customWidth="1"/>
    <col min="15" max="15" width="9.28515625" bestFit="1" customWidth="1"/>
    <col min="16" max="16" width="8.85546875" bestFit="1" customWidth="1"/>
    <col min="17" max="17" width="7" bestFit="1" customWidth="1"/>
    <col min="18" max="18" width="11.5703125" bestFit="1" customWidth="1"/>
    <col min="19" max="19" width="11.7109375" customWidth="1"/>
    <col min="21" max="21" width="15.5703125" bestFit="1" customWidth="1"/>
    <col min="22" max="22" width="11.7109375" customWidth="1"/>
    <col min="25" max="25" width="15.5703125" bestFit="1" customWidth="1"/>
    <col min="26" max="26" width="11.140625" customWidth="1"/>
    <col min="27" max="27" width="10.5703125" bestFit="1" customWidth="1"/>
    <col min="28" max="28" width="13.140625" bestFit="1" customWidth="1"/>
    <col min="29" max="29" width="10.5703125" customWidth="1"/>
    <col min="30" max="32" width="12.28515625" customWidth="1"/>
    <col min="33" max="33" width="10.28515625" bestFit="1" customWidth="1"/>
    <col min="34" max="34" width="43.7109375" customWidth="1"/>
    <col min="35" max="37" width="10.28515625" customWidth="1"/>
    <col min="38" max="38" width="13.7109375" bestFit="1" customWidth="1"/>
  </cols>
  <sheetData>
    <row r="1" spans="1:38" ht="18.75" thickBot="1">
      <c r="A1" s="756" t="s">
        <v>469</v>
      </c>
      <c r="B1" s="756"/>
      <c r="C1" s="756"/>
      <c r="D1" s="756"/>
      <c r="E1" s="756"/>
      <c r="F1" s="756"/>
      <c r="G1" s="756"/>
      <c r="H1" s="756"/>
      <c r="I1" s="756"/>
      <c r="J1" s="756"/>
      <c r="K1" s="756"/>
      <c r="L1" s="756"/>
      <c r="M1" s="756"/>
      <c r="N1" s="756"/>
      <c r="O1" s="756"/>
      <c r="P1" s="756"/>
      <c r="Q1" s="756"/>
      <c r="R1" s="756"/>
      <c r="S1" s="756"/>
      <c r="T1" s="756"/>
      <c r="U1" s="756"/>
      <c r="V1" s="756"/>
      <c r="W1" s="756"/>
      <c r="X1" s="756"/>
      <c r="Y1" s="756"/>
      <c r="Z1" s="756"/>
      <c r="AA1" s="756"/>
      <c r="AB1" s="756"/>
      <c r="AC1" s="756"/>
      <c r="AD1" s="756"/>
      <c r="AE1" s="756"/>
      <c r="AF1" s="756"/>
      <c r="AG1" s="756"/>
      <c r="AH1" s="756"/>
      <c r="AI1" s="756"/>
      <c r="AJ1" s="756"/>
      <c r="AK1" s="756"/>
      <c r="AL1" s="756"/>
    </row>
    <row r="2" spans="1:38" ht="13.5" thickBot="1">
      <c r="A2" s="172"/>
      <c r="B2" s="767" t="s">
        <v>62</v>
      </c>
      <c r="C2" s="768"/>
      <c r="D2" s="768"/>
      <c r="E2" s="768"/>
      <c r="F2" s="768"/>
      <c r="G2" s="768"/>
      <c r="H2" s="768"/>
      <c r="I2" s="768"/>
      <c r="J2" s="768"/>
      <c r="K2" s="768"/>
      <c r="L2" s="769"/>
      <c r="M2" s="767" t="s">
        <v>418</v>
      </c>
      <c r="N2" s="768"/>
      <c r="O2" s="768"/>
      <c r="P2" s="768"/>
      <c r="Q2" s="768"/>
      <c r="R2" s="769"/>
      <c r="S2" s="767" t="s">
        <v>466</v>
      </c>
      <c r="T2" s="768"/>
      <c r="U2" s="768"/>
      <c r="V2" s="768"/>
      <c r="W2" s="768"/>
      <c r="X2" s="768"/>
      <c r="Y2" s="768"/>
      <c r="Z2" s="768"/>
      <c r="AA2" s="769"/>
      <c r="AB2" s="767" t="s">
        <v>467</v>
      </c>
      <c r="AC2" s="768"/>
      <c r="AD2" s="768"/>
      <c r="AE2" s="768"/>
      <c r="AF2" s="769"/>
      <c r="AG2" s="614" t="s">
        <v>58</v>
      </c>
      <c r="AH2" s="767" t="s">
        <v>468</v>
      </c>
      <c r="AI2" s="768"/>
      <c r="AJ2" s="768"/>
      <c r="AK2" s="768"/>
      <c r="AL2" s="769"/>
    </row>
    <row r="3" spans="1:38" ht="13.5" thickBot="1">
      <c r="A3" s="171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65" t="s">
        <v>358</v>
      </c>
      <c r="N3" s="766"/>
      <c r="O3" s="78"/>
      <c r="P3" s="78"/>
      <c r="Q3" s="78"/>
      <c r="R3" s="78"/>
      <c r="S3" s="91" t="s">
        <v>75</v>
      </c>
      <c r="T3" s="92"/>
      <c r="U3" s="93"/>
      <c r="V3" s="91" t="s">
        <v>95</v>
      </c>
      <c r="W3" s="93"/>
      <c r="X3" s="765" t="s">
        <v>55</v>
      </c>
      <c r="Y3" s="766"/>
      <c r="Z3" s="135"/>
      <c r="AA3" s="78"/>
      <c r="AB3" s="91" t="s">
        <v>76</v>
      </c>
      <c r="AC3" s="93"/>
      <c r="AD3" s="765" t="s">
        <v>338</v>
      </c>
      <c r="AE3" s="766"/>
      <c r="AF3" s="79"/>
      <c r="AG3" s="171"/>
      <c r="AH3" s="767" t="s">
        <v>412</v>
      </c>
      <c r="AI3" s="768"/>
      <c r="AJ3" s="769"/>
      <c r="AK3" s="613" t="s">
        <v>58</v>
      </c>
      <c r="AL3" s="71" t="s">
        <v>413</v>
      </c>
    </row>
    <row r="4" spans="1:38" ht="13.5" thickBot="1">
      <c r="A4" s="2" t="s">
        <v>4</v>
      </c>
      <c r="B4" s="53" t="s">
        <v>28</v>
      </c>
      <c r="C4" s="53" t="s">
        <v>29</v>
      </c>
      <c r="D4" s="53" t="s">
        <v>30</v>
      </c>
      <c r="E4" s="53" t="s">
        <v>31</v>
      </c>
      <c r="F4" s="53" t="s">
        <v>69</v>
      </c>
      <c r="G4" s="53" t="s">
        <v>67</v>
      </c>
      <c r="H4" s="53" t="s">
        <v>327</v>
      </c>
      <c r="I4" s="53" t="s">
        <v>68</v>
      </c>
      <c r="J4" s="53" t="s">
        <v>94</v>
      </c>
      <c r="K4" s="53" t="s">
        <v>93</v>
      </c>
      <c r="L4" s="53" t="s">
        <v>2</v>
      </c>
      <c r="M4" s="500" t="s">
        <v>0</v>
      </c>
      <c r="N4" s="502" t="s">
        <v>1</v>
      </c>
      <c r="O4" s="53" t="s">
        <v>70</v>
      </c>
      <c r="P4" s="53" t="s">
        <v>71</v>
      </c>
      <c r="Q4" s="53" t="s">
        <v>74</v>
      </c>
      <c r="R4" s="53" t="s">
        <v>2</v>
      </c>
      <c r="S4" s="2" t="s">
        <v>0</v>
      </c>
      <c r="T4" s="3" t="s">
        <v>1</v>
      </c>
      <c r="U4" s="4" t="s">
        <v>87</v>
      </c>
      <c r="V4" s="2" t="s">
        <v>0</v>
      </c>
      <c r="W4" s="4" t="s">
        <v>1</v>
      </c>
      <c r="X4" s="295" t="s">
        <v>1</v>
      </c>
      <c r="Y4" s="296" t="s">
        <v>87</v>
      </c>
      <c r="Z4" s="53" t="s">
        <v>132</v>
      </c>
      <c r="AA4" s="53" t="s">
        <v>2</v>
      </c>
      <c r="AB4" s="604" t="s">
        <v>0</v>
      </c>
      <c r="AC4" s="606" t="s">
        <v>1</v>
      </c>
      <c r="AD4" s="489" t="s">
        <v>0</v>
      </c>
      <c r="AE4" s="490" t="s">
        <v>1</v>
      </c>
      <c r="AF4" s="53" t="s">
        <v>2</v>
      </c>
      <c r="AG4" s="610" t="s">
        <v>2</v>
      </c>
      <c r="AH4" s="607" t="s">
        <v>0</v>
      </c>
      <c r="AI4" s="608" t="s">
        <v>1</v>
      </c>
      <c r="AJ4" s="609" t="s">
        <v>2</v>
      </c>
      <c r="AK4" s="613" t="s">
        <v>2</v>
      </c>
      <c r="AL4" s="53" t="s">
        <v>2</v>
      </c>
    </row>
    <row r="5" spans="1:38">
      <c r="A5" s="5"/>
      <c r="B5" s="5"/>
      <c r="C5" s="6"/>
      <c r="D5" s="6"/>
      <c r="E5" s="8"/>
      <c r="F5" s="8"/>
      <c r="G5" s="6"/>
      <c r="H5" s="6"/>
      <c r="I5" s="6"/>
      <c r="J5" s="8"/>
      <c r="K5" s="8"/>
      <c r="L5" s="7"/>
      <c r="M5" s="8"/>
      <c r="N5" s="8"/>
      <c r="O5" s="8"/>
      <c r="P5" s="8"/>
      <c r="Q5" s="8"/>
      <c r="R5" s="7"/>
      <c r="S5" s="8"/>
      <c r="T5" s="8"/>
      <c r="U5" s="8"/>
      <c r="V5" s="6"/>
      <c r="W5" s="6"/>
      <c r="X5" s="6"/>
      <c r="Y5" s="6"/>
      <c r="Z5" s="54"/>
      <c r="AA5" s="7"/>
      <c r="AB5" s="6"/>
      <c r="AC5" s="6"/>
      <c r="AD5" s="6"/>
      <c r="AE5" s="6"/>
      <c r="AF5" s="7"/>
      <c r="AG5" s="5"/>
      <c r="AH5" s="5"/>
      <c r="AI5" s="6"/>
      <c r="AJ5" s="6"/>
      <c r="AK5" s="105"/>
      <c r="AL5" s="105"/>
    </row>
    <row r="6" spans="1:38">
      <c r="A6" s="10"/>
      <c r="B6" s="10"/>
      <c r="C6" s="27"/>
      <c r="D6" s="27"/>
      <c r="E6" s="27"/>
      <c r="F6" s="27"/>
      <c r="G6" s="27"/>
      <c r="H6" s="27"/>
      <c r="I6" s="27"/>
      <c r="J6" s="27"/>
      <c r="K6" s="27"/>
      <c r="L6" s="81"/>
      <c r="M6" s="27"/>
      <c r="N6" s="27"/>
      <c r="O6" s="27"/>
      <c r="P6" s="27"/>
      <c r="Q6" s="27"/>
      <c r="R6" s="81"/>
      <c r="S6" s="27"/>
      <c r="T6" s="8"/>
      <c r="U6" s="8"/>
      <c r="V6" s="27"/>
      <c r="W6" s="8"/>
      <c r="X6" s="8"/>
      <c r="Y6" s="8"/>
      <c r="Z6" s="8"/>
      <c r="AA6" s="9"/>
      <c r="AB6" s="8"/>
      <c r="AC6" s="8"/>
      <c r="AD6" s="8"/>
      <c r="AE6" s="8"/>
      <c r="AF6" s="9"/>
      <c r="AG6" s="104"/>
      <c r="AH6" s="104"/>
      <c r="AI6" s="8"/>
      <c r="AJ6" s="8"/>
      <c r="AK6" s="106"/>
      <c r="AL6" s="106"/>
    </row>
    <row r="7" spans="1:38">
      <c r="A7" s="21" t="s">
        <v>5</v>
      </c>
      <c r="B7" s="109">
        <f>'Resid Cust Fcst '!H8</f>
        <v>0</v>
      </c>
      <c r="C7" s="23">
        <f>'Resid Cust Fcst '!O8</f>
        <v>0</v>
      </c>
      <c r="D7" s="23">
        <f>'Resid Cust Fcst '!V8</f>
        <v>0</v>
      </c>
      <c r="E7" s="23">
        <f>'Resid Cust Fcst '!AC8</f>
        <v>0</v>
      </c>
      <c r="F7" s="23">
        <f>'Resid Cust Fcst '!AJ8</f>
        <v>0</v>
      </c>
      <c r="G7" s="23">
        <f>'Resid Cust Fcst '!AQ8</f>
        <v>0</v>
      </c>
      <c r="H7" s="23">
        <f>'Resid Cust Fcst '!AX8</f>
        <v>0</v>
      </c>
      <c r="I7" s="23">
        <f>'Resid Cust Fcst '!BE8</f>
        <v>0</v>
      </c>
      <c r="J7" s="23">
        <f>'Resid Cust Fcst '!BL8</f>
        <v>0</v>
      </c>
      <c r="K7" s="23">
        <f>'Resid Cust Fcst '!BS8</f>
        <v>0</v>
      </c>
      <c r="L7" s="41">
        <f t="shared" ref="L7:L37" si="0">SUM(B7:K7)</f>
        <v>0</v>
      </c>
      <c r="M7" s="23">
        <f>'Sm Comm Cust Fcst'!F8</f>
        <v>92</v>
      </c>
      <c r="N7" s="23">
        <f>'Sm Comm Cust Fcst'!G8</f>
        <v>0</v>
      </c>
      <c r="O7" s="23">
        <f>'Sm Comm Cust Fcst'!M8</f>
        <v>0</v>
      </c>
      <c r="P7" s="23">
        <f>'Sm Comm Cust Fcst'!T8</f>
        <v>0</v>
      </c>
      <c r="Q7" s="23">
        <f>'Sm Comm Cust Fcst'!AA8</f>
        <v>0</v>
      </c>
      <c r="R7" s="41">
        <f t="shared" ref="R7:R37" si="1">SUM(M7:Q7)</f>
        <v>92</v>
      </c>
      <c r="S7" s="23">
        <f>'Sch AL-TOU Cust Fcst'!F6</f>
        <v>6</v>
      </c>
      <c r="T7" s="23">
        <f>'Sch AL-TOU Cust Fcst'!G6</f>
        <v>0</v>
      </c>
      <c r="U7" s="23">
        <f>'Sch AL-TOU Cust Fcst'!H6</f>
        <v>0</v>
      </c>
      <c r="V7" s="23">
        <f>'Sch DG-R Cust Fcst'!F6</f>
        <v>0</v>
      </c>
      <c r="W7" s="23">
        <f>'Sch DG-R Cust Fcst'!G6</f>
        <v>0</v>
      </c>
      <c r="X7" s="23">
        <f>'Sch A6-TOU Cust Fcst '!B6</f>
        <v>0</v>
      </c>
      <c r="Y7" s="23">
        <f>'Sch A6-TOU Cust Fcst '!C6</f>
        <v>0</v>
      </c>
      <c r="Z7" s="23">
        <f>'Sch OL-TOU Cust Fcst'!F6</f>
        <v>0</v>
      </c>
      <c r="AA7" s="41">
        <f t="shared" ref="AA7:AA37" si="2">SUM(S7:Z7)</f>
        <v>6</v>
      </c>
      <c r="AB7" s="23"/>
      <c r="AC7" s="23"/>
      <c r="AD7" s="23">
        <f>'Sch TOU-PA Cust Fcst'!F6</f>
        <v>0</v>
      </c>
      <c r="AE7" s="23">
        <f>'Sch TOU-PA Cust Fcst'!G6</f>
        <v>0</v>
      </c>
      <c r="AF7" s="41">
        <f>SUM(AD7:AE7)</f>
        <v>0</v>
      </c>
      <c r="AG7" s="109">
        <f>'Street Light Cust Cost Summary'!B30</f>
        <v>103</v>
      </c>
      <c r="AH7" s="109">
        <f>L7+R7+S7+V7+Z7+AF7</f>
        <v>98</v>
      </c>
      <c r="AI7" s="23">
        <f>T7+W7+X7</f>
        <v>0</v>
      </c>
      <c r="AJ7" s="23">
        <f>SUM(AH7:AI7)</f>
        <v>98</v>
      </c>
      <c r="AK7" s="136">
        <f>AG7</f>
        <v>103</v>
      </c>
      <c r="AL7" s="136">
        <f>AJ7+AK7</f>
        <v>201</v>
      </c>
    </row>
    <row r="8" spans="1:38">
      <c r="A8" s="20" t="s">
        <v>6</v>
      </c>
      <c r="B8" s="109">
        <f>'Resid Cust Fcst '!H9</f>
        <v>0</v>
      </c>
      <c r="C8" s="23">
        <f>'Resid Cust Fcst '!O9</f>
        <v>0</v>
      </c>
      <c r="D8" s="23">
        <f>'Resid Cust Fcst '!V9</f>
        <v>0</v>
      </c>
      <c r="E8" s="23">
        <f>'Resid Cust Fcst '!AC9</f>
        <v>0</v>
      </c>
      <c r="F8" s="23">
        <f>'Resid Cust Fcst '!AJ9</f>
        <v>0</v>
      </c>
      <c r="G8" s="23">
        <f>'Resid Cust Fcst '!AQ9</f>
        <v>0</v>
      </c>
      <c r="H8" s="23">
        <f>'Resid Cust Fcst '!AX9</f>
        <v>0</v>
      </c>
      <c r="I8" s="23">
        <f>'Resid Cust Fcst '!BE9</f>
        <v>0</v>
      </c>
      <c r="J8" s="23">
        <f>'Resid Cust Fcst '!BL9</f>
        <v>0</v>
      </c>
      <c r="K8" s="23">
        <f>'Resid Cust Fcst '!BS9</f>
        <v>0</v>
      </c>
      <c r="L8" s="41">
        <f t="shared" si="0"/>
        <v>0</v>
      </c>
      <c r="M8" s="23">
        <f>'Sm Comm Cust Fcst'!F9</f>
        <v>62</v>
      </c>
      <c r="N8" s="23">
        <f>'Sm Comm Cust Fcst'!G9</f>
        <v>0</v>
      </c>
      <c r="O8" s="23">
        <f>'Sm Comm Cust Fcst'!M9</f>
        <v>0</v>
      </c>
      <c r="P8" s="23">
        <f>'Sm Comm Cust Fcst'!T9</f>
        <v>0</v>
      </c>
      <c r="Q8" s="23">
        <f>'Sm Comm Cust Fcst'!AA9</f>
        <v>0</v>
      </c>
      <c r="R8" s="41">
        <f t="shared" si="1"/>
        <v>62</v>
      </c>
      <c r="S8" s="23">
        <f>'Sch AL-TOU Cust Fcst'!F7</f>
        <v>6</v>
      </c>
      <c r="T8" s="23">
        <f>'Sch AL-TOU Cust Fcst'!G7</f>
        <v>1</v>
      </c>
      <c r="U8" s="23">
        <f>'Sch AL-TOU Cust Fcst'!H7</f>
        <v>0</v>
      </c>
      <c r="V8" s="23">
        <f>'Sch DG-R Cust Fcst'!F7</f>
        <v>0</v>
      </c>
      <c r="W8" s="23">
        <f>'Sch DG-R Cust Fcst'!G7</f>
        <v>0</v>
      </c>
      <c r="X8" s="23">
        <f>'Sch A6-TOU Cust Fcst '!B7</f>
        <v>0</v>
      </c>
      <c r="Y8" s="23">
        <f>'Sch A6-TOU Cust Fcst '!C7</f>
        <v>0</v>
      </c>
      <c r="Z8" s="23">
        <f>'Sch OL-TOU Cust Fcst'!F7</f>
        <v>0</v>
      </c>
      <c r="AA8" s="41">
        <f t="shared" si="2"/>
        <v>7</v>
      </c>
      <c r="AB8" s="23"/>
      <c r="AC8" s="23"/>
      <c r="AD8" s="23">
        <f>'Sch TOU-PA Cust Fcst'!F7</f>
        <v>1</v>
      </c>
      <c r="AE8" s="23">
        <f>'Sch TOU-PA Cust Fcst'!G7</f>
        <v>0</v>
      </c>
      <c r="AF8" s="41">
        <f t="shared" ref="AF8:AF39" si="3">SUM(AD8:AE8)</f>
        <v>1</v>
      </c>
      <c r="AG8" s="109"/>
      <c r="AH8" s="109">
        <f t="shared" ref="AH8:AH37" si="4">L8+R8+S8+V8+Z8+AF8</f>
        <v>69</v>
      </c>
      <c r="AI8" s="23">
        <f t="shared" ref="AI8:AI37" si="5">T8+W8+X8</f>
        <v>1</v>
      </c>
      <c r="AJ8" s="23">
        <f t="shared" ref="AJ8:AJ37" si="6">SUM(AH8:AI8)</f>
        <v>70</v>
      </c>
      <c r="AK8" s="136"/>
      <c r="AL8" s="136">
        <f t="shared" ref="AL8:AL37" si="7">AJ8+AK8</f>
        <v>70</v>
      </c>
    </row>
    <row r="9" spans="1:38">
      <c r="A9" s="22" t="s">
        <v>7</v>
      </c>
      <c r="B9" s="109">
        <f>'Resid Cust Fcst '!H10</f>
        <v>0</v>
      </c>
      <c r="C9" s="23">
        <f>'Resid Cust Fcst '!O10</f>
        <v>0</v>
      </c>
      <c r="D9" s="23">
        <f>'Resid Cust Fcst '!V10</f>
        <v>0</v>
      </c>
      <c r="E9" s="23">
        <f>'Resid Cust Fcst '!AC10</f>
        <v>0</v>
      </c>
      <c r="F9" s="23">
        <f>'Resid Cust Fcst '!AJ10</f>
        <v>0</v>
      </c>
      <c r="G9" s="23">
        <f>'Resid Cust Fcst '!AQ10</f>
        <v>0</v>
      </c>
      <c r="H9" s="23">
        <f>'Resid Cust Fcst '!AX10</f>
        <v>0</v>
      </c>
      <c r="I9" s="23">
        <f>'Resid Cust Fcst '!BE10</f>
        <v>0</v>
      </c>
      <c r="J9" s="23">
        <f>'Resid Cust Fcst '!BL10</f>
        <v>0</v>
      </c>
      <c r="K9" s="23">
        <f>'Resid Cust Fcst '!BS10</f>
        <v>0</v>
      </c>
      <c r="L9" s="41">
        <f t="shared" si="0"/>
        <v>0</v>
      </c>
      <c r="M9" s="23">
        <f>'Sm Comm Cust Fcst'!F10</f>
        <v>96</v>
      </c>
      <c r="N9" s="23">
        <f>'Sm Comm Cust Fcst'!G10</f>
        <v>0</v>
      </c>
      <c r="O9" s="23">
        <f>'Sm Comm Cust Fcst'!M10</f>
        <v>0</v>
      </c>
      <c r="P9" s="23">
        <f>'Sm Comm Cust Fcst'!T10</f>
        <v>0</v>
      </c>
      <c r="Q9" s="23">
        <f>'Sm Comm Cust Fcst'!AA10</f>
        <v>0</v>
      </c>
      <c r="R9" s="41">
        <f t="shared" si="1"/>
        <v>96</v>
      </c>
      <c r="S9" s="23">
        <f>'Sch AL-TOU Cust Fcst'!F8</f>
        <v>7</v>
      </c>
      <c r="T9" s="23">
        <f>'Sch AL-TOU Cust Fcst'!G8</f>
        <v>0</v>
      </c>
      <c r="U9" s="23">
        <f>'Sch AL-TOU Cust Fcst'!H8</f>
        <v>0</v>
      </c>
      <c r="V9" s="23">
        <f>'Sch DG-R Cust Fcst'!F8</f>
        <v>0</v>
      </c>
      <c r="W9" s="23">
        <f>'Sch DG-R Cust Fcst'!G8</f>
        <v>0</v>
      </c>
      <c r="X9" s="23">
        <f>'Sch A6-TOU Cust Fcst '!B8</f>
        <v>0</v>
      </c>
      <c r="Y9" s="23">
        <f>'Sch A6-TOU Cust Fcst '!C8</f>
        <v>0</v>
      </c>
      <c r="Z9" s="23">
        <f>'Sch OL-TOU Cust Fcst'!F8</f>
        <v>0</v>
      </c>
      <c r="AA9" s="41">
        <f t="shared" si="2"/>
        <v>7</v>
      </c>
      <c r="AB9" s="23"/>
      <c r="AC9" s="23"/>
      <c r="AD9" s="23">
        <f>'Sch TOU-PA Cust Fcst'!F8</f>
        <v>1</v>
      </c>
      <c r="AE9" s="23">
        <f>'Sch TOU-PA Cust Fcst'!G8</f>
        <v>0</v>
      </c>
      <c r="AF9" s="41">
        <f t="shared" si="3"/>
        <v>1</v>
      </c>
      <c r="AG9" s="109"/>
      <c r="AH9" s="109">
        <f t="shared" si="4"/>
        <v>104</v>
      </c>
      <c r="AI9" s="23">
        <f t="shared" si="5"/>
        <v>0</v>
      </c>
      <c r="AJ9" s="23">
        <f t="shared" si="6"/>
        <v>104</v>
      </c>
      <c r="AK9" s="136"/>
      <c r="AL9" s="136">
        <f t="shared" si="7"/>
        <v>104</v>
      </c>
    </row>
    <row r="10" spans="1:38">
      <c r="A10" s="22" t="s">
        <v>110</v>
      </c>
      <c r="B10" s="109">
        <f>'Resid Cust Fcst '!H11</f>
        <v>1</v>
      </c>
      <c r="C10" s="23">
        <f>'Resid Cust Fcst '!O11</f>
        <v>0</v>
      </c>
      <c r="D10" s="23">
        <f>'Resid Cust Fcst '!V11</f>
        <v>0</v>
      </c>
      <c r="E10" s="23">
        <f>'Resid Cust Fcst '!AC11</f>
        <v>0</v>
      </c>
      <c r="F10" s="23">
        <f>'Resid Cust Fcst '!AJ11</f>
        <v>0</v>
      </c>
      <c r="G10" s="23">
        <f>'Resid Cust Fcst '!AQ11</f>
        <v>0</v>
      </c>
      <c r="H10" s="23">
        <f>'Resid Cust Fcst '!AX11</f>
        <v>0</v>
      </c>
      <c r="I10" s="23">
        <f>'Resid Cust Fcst '!BE11</f>
        <v>0</v>
      </c>
      <c r="J10" s="23">
        <f>'Resid Cust Fcst '!BL11</f>
        <v>0</v>
      </c>
      <c r="K10" s="23">
        <f>'Resid Cust Fcst '!BS11</f>
        <v>0</v>
      </c>
      <c r="L10" s="41">
        <f t="shared" si="0"/>
        <v>1</v>
      </c>
      <c r="M10" s="23">
        <f>'Sm Comm Cust Fcst'!F11</f>
        <v>156</v>
      </c>
      <c r="N10" s="23">
        <f>'Sm Comm Cust Fcst'!G11</f>
        <v>0</v>
      </c>
      <c r="O10" s="23">
        <f>'Sm Comm Cust Fcst'!M11</f>
        <v>0</v>
      </c>
      <c r="P10" s="23">
        <f>'Sm Comm Cust Fcst'!T11</f>
        <v>0</v>
      </c>
      <c r="Q10" s="23">
        <f>'Sm Comm Cust Fcst'!AA11</f>
        <v>0</v>
      </c>
      <c r="R10" s="41">
        <f t="shared" si="1"/>
        <v>156</v>
      </c>
      <c r="S10" s="23">
        <f>'Sch AL-TOU Cust Fcst'!F9</f>
        <v>7</v>
      </c>
      <c r="T10" s="23">
        <f>'Sch AL-TOU Cust Fcst'!G9</f>
        <v>0</v>
      </c>
      <c r="U10" s="23">
        <f>'Sch AL-TOU Cust Fcst'!H9</f>
        <v>0</v>
      </c>
      <c r="V10" s="23">
        <f>'Sch DG-R Cust Fcst'!F9</f>
        <v>1</v>
      </c>
      <c r="W10" s="23">
        <f>'Sch DG-R Cust Fcst'!G9</f>
        <v>0</v>
      </c>
      <c r="X10" s="23">
        <f>'Sch A6-TOU Cust Fcst '!B9</f>
        <v>0</v>
      </c>
      <c r="Y10" s="23">
        <f>'Sch A6-TOU Cust Fcst '!C9</f>
        <v>0</v>
      </c>
      <c r="Z10" s="23">
        <f>'Sch OL-TOU Cust Fcst'!F9</f>
        <v>0</v>
      </c>
      <c r="AA10" s="41">
        <f t="shared" si="2"/>
        <v>8</v>
      </c>
      <c r="AB10" s="23"/>
      <c r="AC10" s="23"/>
      <c r="AD10" s="23">
        <f>'Sch TOU-PA Cust Fcst'!F9</f>
        <v>0</v>
      </c>
      <c r="AE10" s="23">
        <f>'Sch TOU-PA Cust Fcst'!G9</f>
        <v>0</v>
      </c>
      <c r="AF10" s="41">
        <f t="shared" si="3"/>
        <v>0</v>
      </c>
      <c r="AG10" s="109"/>
      <c r="AH10" s="109">
        <f t="shared" si="4"/>
        <v>165</v>
      </c>
      <c r="AI10" s="23">
        <f t="shared" si="5"/>
        <v>0</v>
      </c>
      <c r="AJ10" s="23">
        <f t="shared" si="6"/>
        <v>165</v>
      </c>
      <c r="AK10" s="136"/>
      <c r="AL10" s="136">
        <f t="shared" si="7"/>
        <v>165</v>
      </c>
    </row>
    <row r="11" spans="1:38">
      <c r="A11" s="22" t="s">
        <v>102</v>
      </c>
      <c r="B11" s="109">
        <f>'Resid Cust Fcst '!H12</f>
        <v>0</v>
      </c>
      <c r="C11" s="23">
        <f>'Resid Cust Fcst '!O12</f>
        <v>0</v>
      </c>
      <c r="D11" s="23">
        <f>'Resid Cust Fcst '!V12</f>
        <v>0</v>
      </c>
      <c r="E11" s="23">
        <f>'Resid Cust Fcst '!AC12</f>
        <v>0</v>
      </c>
      <c r="F11" s="23">
        <f>'Resid Cust Fcst '!AJ12</f>
        <v>0</v>
      </c>
      <c r="G11" s="23">
        <f>'Resid Cust Fcst '!AQ12</f>
        <v>0</v>
      </c>
      <c r="H11" s="23">
        <f>'Resid Cust Fcst '!AX12</f>
        <v>0</v>
      </c>
      <c r="I11" s="23">
        <f>'Resid Cust Fcst '!BE12</f>
        <v>0</v>
      </c>
      <c r="J11" s="23">
        <f>'Resid Cust Fcst '!BL12</f>
        <v>0</v>
      </c>
      <c r="K11" s="23">
        <f>'Resid Cust Fcst '!BS12</f>
        <v>0</v>
      </c>
      <c r="L11" s="41">
        <f t="shared" si="0"/>
        <v>0</v>
      </c>
      <c r="M11" s="23">
        <f>'Sm Comm Cust Fcst'!F12</f>
        <v>100</v>
      </c>
      <c r="N11" s="23">
        <f>'Sm Comm Cust Fcst'!G12</f>
        <v>0</v>
      </c>
      <c r="O11" s="23">
        <f>'Sm Comm Cust Fcst'!M12</f>
        <v>0</v>
      </c>
      <c r="P11" s="23">
        <f>'Sm Comm Cust Fcst'!T12</f>
        <v>0</v>
      </c>
      <c r="Q11" s="23">
        <f>'Sm Comm Cust Fcst'!AA12</f>
        <v>0</v>
      </c>
      <c r="R11" s="41">
        <f t="shared" si="1"/>
        <v>100</v>
      </c>
      <c r="S11" s="23">
        <f>'Sch AL-TOU Cust Fcst'!F10</f>
        <v>12</v>
      </c>
      <c r="T11" s="23">
        <f>'Sch AL-TOU Cust Fcst'!G10</f>
        <v>0</v>
      </c>
      <c r="U11" s="23">
        <f>'Sch AL-TOU Cust Fcst'!H10</f>
        <v>0</v>
      </c>
      <c r="V11" s="23">
        <f>'Sch DG-R Cust Fcst'!F10</f>
        <v>0</v>
      </c>
      <c r="W11" s="23">
        <f>'Sch DG-R Cust Fcst'!G10</f>
        <v>0</v>
      </c>
      <c r="X11" s="23">
        <f>'Sch A6-TOU Cust Fcst '!B10</f>
        <v>0</v>
      </c>
      <c r="Y11" s="23">
        <f>'Sch A6-TOU Cust Fcst '!C10</f>
        <v>0</v>
      </c>
      <c r="Z11" s="23">
        <f>'Sch OL-TOU Cust Fcst'!F10</f>
        <v>0</v>
      </c>
      <c r="AA11" s="41">
        <f t="shared" si="2"/>
        <v>12</v>
      </c>
      <c r="AB11" s="23"/>
      <c r="AC11" s="23"/>
      <c r="AD11" s="23">
        <f>'Sch TOU-PA Cust Fcst'!F10</f>
        <v>0</v>
      </c>
      <c r="AE11" s="23">
        <f>'Sch TOU-PA Cust Fcst'!G10</f>
        <v>0</v>
      </c>
      <c r="AF11" s="41">
        <f t="shared" si="3"/>
        <v>0</v>
      </c>
      <c r="AG11" s="109"/>
      <c r="AH11" s="109">
        <f t="shared" si="4"/>
        <v>112</v>
      </c>
      <c r="AI11" s="23">
        <f t="shared" si="5"/>
        <v>0</v>
      </c>
      <c r="AJ11" s="23">
        <f t="shared" si="6"/>
        <v>112</v>
      </c>
      <c r="AK11" s="136"/>
      <c r="AL11" s="136">
        <f t="shared" si="7"/>
        <v>112</v>
      </c>
    </row>
    <row r="12" spans="1:38">
      <c r="A12" s="22" t="s">
        <v>8</v>
      </c>
      <c r="B12" s="109">
        <f>'Resid Cust Fcst '!H13</f>
        <v>0</v>
      </c>
      <c r="C12" s="23">
        <f>'Resid Cust Fcst '!O13</f>
        <v>0</v>
      </c>
      <c r="D12" s="23">
        <f>'Resid Cust Fcst '!V13</f>
        <v>0</v>
      </c>
      <c r="E12" s="23">
        <f>'Resid Cust Fcst '!AC13</f>
        <v>0</v>
      </c>
      <c r="F12" s="23">
        <f>'Resid Cust Fcst '!AJ13</f>
        <v>0</v>
      </c>
      <c r="G12" s="23">
        <f>'Resid Cust Fcst '!AQ13</f>
        <v>0</v>
      </c>
      <c r="H12" s="23">
        <f>'Resid Cust Fcst '!AX13</f>
        <v>0</v>
      </c>
      <c r="I12" s="23">
        <f>'Resid Cust Fcst '!BE13</f>
        <v>0</v>
      </c>
      <c r="J12" s="23">
        <f>'Resid Cust Fcst '!BL13</f>
        <v>0</v>
      </c>
      <c r="K12" s="23">
        <f>'Resid Cust Fcst '!BS13</f>
        <v>0</v>
      </c>
      <c r="L12" s="41">
        <f t="shared" si="0"/>
        <v>0</v>
      </c>
      <c r="M12" s="23">
        <f>'Sm Comm Cust Fcst'!F13</f>
        <v>47</v>
      </c>
      <c r="N12" s="23">
        <f>'Sm Comm Cust Fcst'!G13</f>
        <v>0</v>
      </c>
      <c r="O12" s="23">
        <f>'Sm Comm Cust Fcst'!M13</f>
        <v>0</v>
      </c>
      <c r="P12" s="23">
        <f>'Sm Comm Cust Fcst'!T13</f>
        <v>1</v>
      </c>
      <c r="Q12" s="23">
        <f>'Sm Comm Cust Fcst'!AA13</f>
        <v>0</v>
      </c>
      <c r="R12" s="41">
        <f t="shared" si="1"/>
        <v>48</v>
      </c>
      <c r="S12" s="23">
        <f>'Sch AL-TOU Cust Fcst'!F11</f>
        <v>100</v>
      </c>
      <c r="T12" s="23">
        <f>'Sch AL-TOU Cust Fcst'!G11</f>
        <v>2</v>
      </c>
      <c r="U12" s="23">
        <f>'Sch AL-TOU Cust Fcst'!H11</f>
        <v>0</v>
      </c>
      <c r="V12" s="23">
        <f>'Sch DG-R Cust Fcst'!F11</f>
        <v>4</v>
      </c>
      <c r="W12" s="23">
        <f>'Sch DG-R Cust Fcst'!G11</f>
        <v>0</v>
      </c>
      <c r="X12" s="23">
        <f>'Sch A6-TOU Cust Fcst '!B11</f>
        <v>0</v>
      </c>
      <c r="Y12" s="23">
        <f>'Sch A6-TOU Cust Fcst '!C11</f>
        <v>0</v>
      </c>
      <c r="Z12" s="23">
        <f>'Sch OL-TOU Cust Fcst'!F11</f>
        <v>0</v>
      </c>
      <c r="AA12" s="41">
        <f t="shared" si="2"/>
        <v>106</v>
      </c>
      <c r="AB12" s="23"/>
      <c r="AC12" s="23"/>
      <c r="AD12" s="23">
        <f>'Sch TOU-PA Cust Fcst'!F11</f>
        <v>0</v>
      </c>
      <c r="AE12" s="23">
        <f>'Sch TOU-PA Cust Fcst'!G11</f>
        <v>0</v>
      </c>
      <c r="AF12" s="41">
        <f t="shared" si="3"/>
        <v>0</v>
      </c>
      <c r="AG12" s="109"/>
      <c r="AH12" s="109">
        <f t="shared" si="4"/>
        <v>152</v>
      </c>
      <c r="AI12" s="23">
        <f t="shared" si="5"/>
        <v>2</v>
      </c>
      <c r="AJ12" s="23">
        <f t="shared" si="6"/>
        <v>154</v>
      </c>
      <c r="AK12" s="136"/>
      <c r="AL12" s="136">
        <f t="shared" si="7"/>
        <v>154</v>
      </c>
    </row>
    <row r="13" spans="1:38">
      <c r="A13" s="22" t="s">
        <v>9</v>
      </c>
      <c r="B13" s="109">
        <f>'Resid Cust Fcst '!H14</f>
        <v>0</v>
      </c>
      <c r="C13" s="23">
        <f>'Resid Cust Fcst '!O14</f>
        <v>0</v>
      </c>
      <c r="D13" s="23">
        <f>'Resid Cust Fcst '!V14</f>
        <v>0</v>
      </c>
      <c r="E13" s="23">
        <f>'Resid Cust Fcst '!AC14</f>
        <v>0</v>
      </c>
      <c r="F13" s="23">
        <f>'Resid Cust Fcst '!AJ14</f>
        <v>0</v>
      </c>
      <c r="G13" s="23">
        <f>'Resid Cust Fcst '!AQ14</f>
        <v>0</v>
      </c>
      <c r="H13" s="23">
        <f>'Resid Cust Fcst '!AX14</f>
        <v>0</v>
      </c>
      <c r="I13" s="23">
        <f>'Resid Cust Fcst '!BE14</f>
        <v>0</v>
      </c>
      <c r="J13" s="23">
        <f>'Resid Cust Fcst '!BL14</f>
        <v>0</v>
      </c>
      <c r="K13" s="23">
        <f>'Resid Cust Fcst '!BS14</f>
        <v>0</v>
      </c>
      <c r="L13" s="41">
        <f t="shared" si="0"/>
        <v>0</v>
      </c>
      <c r="M13" s="23">
        <f>'Sm Comm Cust Fcst'!F14</f>
        <v>70</v>
      </c>
      <c r="N13" s="23">
        <f>'Sm Comm Cust Fcst'!G14</f>
        <v>0</v>
      </c>
      <c r="O13" s="23">
        <f>'Sm Comm Cust Fcst'!M14</f>
        <v>0</v>
      </c>
      <c r="P13" s="23">
        <f>'Sm Comm Cust Fcst'!T14</f>
        <v>1</v>
      </c>
      <c r="Q13" s="23">
        <f>'Sm Comm Cust Fcst'!AA14</f>
        <v>0</v>
      </c>
      <c r="R13" s="41">
        <f t="shared" si="1"/>
        <v>71</v>
      </c>
      <c r="S13" s="23">
        <f>'Sch AL-TOU Cust Fcst'!F12</f>
        <v>96</v>
      </c>
      <c r="T13" s="23">
        <f>'Sch AL-TOU Cust Fcst'!G12</f>
        <v>0</v>
      </c>
      <c r="U13" s="23">
        <f>'Sch AL-TOU Cust Fcst'!H12</f>
        <v>0</v>
      </c>
      <c r="V13" s="23">
        <f>'Sch DG-R Cust Fcst'!F12</f>
        <v>5</v>
      </c>
      <c r="W13" s="23">
        <f>'Sch DG-R Cust Fcst'!G12</f>
        <v>0</v>
      </c>
      <c r="X13" s="23">
        <f>'Sch A6-TOU Cust Fcst '!B12</f>
        <v>0</v>
      </c>
      <c r="Y13" s="23">
        <f>'Sch A6-TOU Cust Fcst '!C12</f>
        <v>0</v>
      </c>
      <c r="Z13" s="23">
        <f>'Sch OL-TOU Cust Fcst'!F12</f>
        <v>0</v>
      </c>
      <c r="AA13" s="41">
        <f t="shared" si="2"/>
        <v>101</v>
      </c>
      <c r="AB13" s="23"/>
      <c r="AC13" s="23"/>
      <c r="AD13" s="23">
        <f>'Sch TOU-PA Cust Fcst'!F12</f>
        <v>0</v>
      </c>
      <c r="AE13" s="23">
        <f>'Sch TOU-PA Cust Fcst'!G12</f>
        <v>0</v>
      </c>
      <c r="AF13" s="41">
        <f t="shared" si="3"/>
        <v>0</v>
      </c>
      <c r="AG13" s="109"/>
      <c r="AH13" s="109">
        <f t="shared" si="4"/>
        <v>172</v>
      </c>
      <c r="AI13" s="23">
        <f t="shared" si="5"/>
        <v>0</v>
      </c>
      <c r="AJ13" s="23">
        <f t="shared" si="6"/>
        <v>172</v>
      </c>
      <c r="AK13" s="136"/>
      <c r="AL13" s="136">
        <f t="shared" si="7"/>
        <v>172</v>
      </c>
    </row>
    <row r="14" spans="1:38">
      <c r="A14" s="22" t="s">
        <v>10</v>
      </c>
      <c r="B14" s="109">
        <f>'Resid Cust Fcst '!H15</f>
        <v>0</v>
      </c>
      <c r="C14" s="23">
        <f>'Resid Cust Fcst '!O15</f>
        <v>0</v>
      </c>
      <c r="D14" s="23">
        <f>'Resid Cust Fcst '!V15</f>
        <v>0</v>
      </c>
      <c r="E14" s="23">
        <f>'Resid Cust Fcst '!AC15</f>
        <v>0</v>
      </c>
      <c r="F14" s="23">
        <f>'Resid Cust Fcst '!AJ15</f>
        <v>0</v>
      </c>
      <c r="G14" s="23">
        <f>'Resid Cust Fcst '!AQ15</f>
        <v>0</v>
      </c>
      <c r="H14" s="23">
        <f>'Resid Cust Fcst '!AX15</f>
        <v>0</v>
      </c>
      <c r="I14" s="23">
        <f>'Resid Cust Fcst '!BE15</f>
        <v>0</v>
      </c>
      <c r="J14" s="23">
        <f>'Resid Cust Fcst '!BL15</f>
        <v>0</v>
      </c>
      <c r="K14" s="23">
        <f>'Resid Cust Fcst '!BS15</f>
        <v>0</v>
      </c>
      <c r="L14" s="41">
        <f t="shared" si="0"/>
        <v>0</v>
      </c>
      <c r="M14" s="23">
        <f>'Sm Comm Cust Fcst'!F15</f>
        <v>13</v>
      </c>
      <c r="N14" s="23">
        <f>'Sm Comm Cust Fcst'!G15</f>
        <v>0</v>
      </c>
      <c r="O14" s="23">
        <f>'Sm Comm Cust Fcst'!M15</f>
        <v>0</v>
      </c>
      <c r="P14" s="23">
        <f>'Sm Comm Cust Fcst'!T15</f>
        <v>0</v>
      </c>
      <c r="Q14" s="23">
        <f>'Sm Comm Cust Fcst'!AA15</f>
        <v>0</v>
      </c>
      <c r="R14" s="41">
        <f t="shared" si="1"/>
        <v>13</v>
      </c>
      <c r="S14" s="23">
        <f>'Sch AL-TOU Cust Fcst'!F13</f>
        <v>56</v>
      </c>
      <c r="T14" s="23">
        <f>'Sch AL-TOU Cust Fcst'!G13</f>
        <v>0</v>
      </c>
      <c r="U14" s="23">
        <f>'Sch AL-TOU Cust Fcst'!H13</f>
        <v>0</v>
      </c>
      <c r="V14" s="23">
        <f>'Sch DG-R Cust Fcst'!F13</f>
        <v>10</v>
      </c>
      <c r="W14" s="23">
        <f>'Sch DG-R Cust Fcst'!G13</f>
        <v>0</v>
      </c>
      <c r="X14" s="23">
        <f>'Sch A6-TOU Cust Fcst '!B13</f>
        <v>0</v>
      </c>
      <c r="Y14" s="23">
        <f>'Sch A6-TOU Cust Fcst '!C13</f>
        <v>0</v>
      </c>
      <c r="Z14" s="23">
        <f>'Sch OL-TOU Cust Fcst'!F13</f>
        <v>0</v>
      </c>
      <c r="AA14" s="41">
        <f t="shared" si="2"/>
        <v>66</v>
      </c>
      <c r="AB14" s="23"/>
      <c r="AC14" s="23"/>
      <c r="AD14" s="23">
        <f>'Sch TOU-PA Cust Fcst'!F13</f>
        <v>0</v>
      </c>
      <c r="AE14" s="23">
        <f>'Sch TOU-PA Cust Fcst'!G13</f>
        <v>0</v>
      </c>
      <c r="AF14" s="41">
        <f t="shared" si="3"/>
        <v>0</v>
      </c>
      <c r="AG14" s="109"/>
      <c r="AH14" s="109">
        <f t="shared" si="4"/>
        <v>79</v>
      </c>
      <c r="AI14" s="23">
        <f t="shared" si="5"/>
        <v>0</v>
      </c>
      <c r="AJ14" s="23">
        <f t="shared" si="6"/>
        <v>79</v>
      </c>
      <c r="AK14" s="136"/>
      <c r="AL14" s="136">
        <f t="shared" si="7"/>
        <v>79</v>
      </c>
    </row>
    <row r="15" spans="1:38">
      <c r="A15" s="22" t="s">
        <v>11</v>
      </c>
      <c r="B15" s="109">
        <f>'Resid Cust Fcst '!H16</f>
        <v>0</v>
      </c>
      <c r="C15" s="23">
        <f>'Resid Cust Fcst '!O16</f>
        <v>0</v>
      </c>
      <c r="D15" s="23">
        <f>'Resid Cust Fcst '!V16</f>
        <v>0</v>
      </c>
      <c r="E15" s="23">
        <f>'Resid Cust Fcst '!AC16</f>
        <v>0</v>
      </c>
      <c r="F15" s="23">
        <f>'Resid Cust Fcst '!AJ16</f>
        <v>0</v>
      </c>
      <c r="G15" s="23">
        <f>'Resid Cust Fcst '!AQ16</f>
        <v>0</v>
      </c>
      <c r="H15" s="23">
        <f>'Resid Cust Fcst '!AX16</f>
        <v>0</v>
      </c>
      <c r="I15" s="23">
        <f>'Resid Cust Fcst '!BE16</f>
        <v>0</v>
      </c>
      <c r="J15" s="23">
        <f>'Resid Cust Fcst '!BL16</f>
        <v>0</v>
      </c>
      <c r="K15" s="23">
        <f>'Resid Cust Fcst '!BS16</f>
        <v>0</v>
      </c>
      <c r="L15" s="41">
        <f t="shared" si="0"/>
        <v>0</v>
      </c>
      <c r="M15" s="23">
        <f>'Sm Comm Cust Fcst'!F16</f>
        <v>0</v>
      </c>
      <c r="N15" s="23">
        <f>'Sm Comm Cust Fcst'!G16</f>
        <v>0</v>
      </c>
      <c r="O15" s="23">
        <f>'Sm Comm Cust Fcst'!M16</f>
        <v>0</v>
      </c>
      <c r="P15" s="23">
        <f>'Sm Comm Cust Fcst'!T16</f>
        <v>0</v>
      </c>
      <c r="Q15" s="23">
        <f>'Sm Comm Cust Fcst'!AA16</f>
        <v>0</v>
      </c>
      <c r="R15" s="41">
        <f t="shared" si="1"/>
        <v>0</v>
      </c>
      <c r="S15" s="23">
        <f>'Sch AL-TOU Cust Fcst'!F14</f>
        <v>104</v>
      </c>
      <c r="T15" s="23">
        <f>'Sch AL-TOU Cust Fcst'!G14</f>
        <v>5</v>
      </c>
      <c r="U15" s="23">
        <f>'Sch AL-TOU Cust Fcst'!H14</f>
        <v>0</v>
      </c>
      <c r="V15" s="23">
        <f>'Sch DG-R Cust Fcst'!F14</f>
        <v>19</v>
      </c>
      <c r="W15" s="23">
        <f>'Sch DG-R Cust Fcst'!G14</f>
        <v>2</v>
      </c>
      <c r="X15" s="23">
        <f>'Sch A6-TOU Cust Fcst '!B14</f>
        <v>0</v>
      </c>
      <c r="Y15" s="23">
        <f>'Sch A6-TOU Cust Fcst '!C14</f>
        <v>0</v>
      </c>
      <c r="Z15" s="23">
        <f>'Sch OL-TOU Cust Fcst'!F14</f>
        <v>3</v>
      </c>
      <c r="AA15" s="41">
        <f t="shared" si="2"/>
        <v>133</v>
      </c>
      <c r="AB15" s="23"/>
      <c r="AC15" s="23"/>
      <c r="AD15" s="23">
        <f>'Sch TOU-PA Cust Fcst'!F14</f>
        <v>0</v>
      </c>
      <c r="AE15" s="23">
        <f>'Sch TOU-PA Cust Fcst'!G14</f>
        <v>0</v>
      </c>
      <c r="AF15" s="41">
        <f t="shared" si="3"/>
        <v>0</v>
      </c>
      <c r="AG15" s="109"/>
      <c r="AH15" s="109">
        <f t="shared" si="4"/>
        <v>126</v>
      </c>
      <c r="AI15" s="23">
        <f t="shared" si="5"/>
        <v>7</v>
      </c>
      <c r="AJ15" s="23">
        <f t="shared" si="6"/>
        <v>133</v>
      </c>
      <c r="AK15" s="136"/>
      <c r="AL15" s="136">
        <f t="shared" si="7"/>
        <v>133</v>
      </c>
    </row>
    <row r="16" spans="1:38">
      <c r="A16" s="22" t="s">
        <v>106</v>
      </c>
      <c r="B16" s="109">
        <f>'Resid Cust Fcst '!H17</f>
        <v>0</v>
      </c>
      <c r="C16" s="23">
        <f>'Resid Cust Fcst '!O17</f>
        <v>0</v>
      </c>
      <c r="D16" s="23">
        <f>'Resid Cust Fcst '!V17</f>
        <v>0</v>
      </c>
      <c r="E16" s="23">
        <f>'Resid Cust Fcst '!AC17</f>
        <v>0</v>
      </c>
      <c r="F16" s="23">
        <f>'Resid Cust Fcst '!AJ17</f>
        <v>0</v>
      </c>
      <c r="G16" s="23">
        <f>'Resid Cust Fcst '!AQ17</f>
        <v>0</v>
      </c>
      <c r="H16" s="23">
        <f>'Resid Cust Fcst '!AX17</f>
        <v>0</v>
      </c>
      <c r="I16" s="23">
        <f>'Resid Cust Fcst '!BE17</f>
        <v>0</v>
      </c>
      <c r="J16" s="23">
        <f>'Resid Cust Fcst '!BL17</f>
        <v>0</v>
      </c>
      <c r="K16" s="23">
        <f>'Resid Cust Fcst '!BS17</f>
        <v>0</v>
      </c>
      <c r="L16" s="41">
        <f t="shared" si="0"/>
        <v>0</v>
      </c>
      <c r="M16" s="23">
        <f>'Sm Comm Cust Fcst'!F17</f>
        <v>6</v>
      </c>
      <c r="N16" s="23">
        <f>'Sm Comm Cust Fcst'!G17</f>
        <v>0</v>
      </c>
      <c r="O16" s="23">
        <f>'Sm Comm Cust Fcst'!M17</f>
        <v>0</v>
      </c>
      <c r="P16" s="23">
        <f>'Sm Comm Cust Fcst'!T17</f>
        <v>0</v>
      </c>
      <c r="Q16" s="23">
        <f>'Sm Comm Cust Fcst'!AA17</f>
        <v>0</v>
      </c>
      <c r="R16" s="41">
        <f t="shared" si="1"/>
        <v>6</v>
      </c>
      <c r="S16" s="23">
        <f>'Sch AL-TOU Cust Fcst'!F15</f>
        <v>140</v>
      </c>
      <c r="T16" s="23">
        <f>'Sch AL-TOU Cust Fcst'!G15</f>
        <v>6</v>
      </c>
      <c r="U16" s="23">
        <f>'Sch AL-TOU Cust Fcst'!H15</f>
        <v>0</v>
      </c>
      <c r="V16" s="23">
        <f>'Sch DG-R Cust Fcst'!F15</f>
        <v>17</v>
      </c>
      <c r="W16" s="23">
        <f>'Sch DG-R Cust Fcst'!G15</f>
        <v>1</v>
      </c>
      <c r="X16" s="23">
        <f>'Sch A6-TOU Cust Fcst '!B15</f>
        <v>0</v>
      </c>
      <c r="Y16" s="23">
        <f>'Sch A6-TOU Cust Fcst '!C15</f>
        <v>0</v>
      </c>
      <c r="Z16" s="23">
        <f>'Sch OL-TOU Cust Fcst'!F15</f>
        <v>0</v>
      </c>
      <c r="AA16" s="41">
        <f t="shared" si="2"/>
        <v>164</v>
      </c>
      <c r="AB16" s="23"/>
      <c r="AC16" s="23"/>
      <c r="AD16" s="23">
        <f>'Sch TOU-PA Cust Fcst'!F15</f>
        <v>0</v>
      </c>
      <c r="AE16" s="23">
        <f>'Sch TOU-PA Cust Fcst'!G15</f>
        <v>0</v>
      </c>
      <c r="AF16" s="41">
        <f t="shared" si="3"/>
        <v>0</v>
      </c>
      <c r="AG16" s="109"/>
      <c r="AH16" s="109">
        <f t="shared" si="4"/>
        <v>163</v>
      </c>
      <c r="AI16" s="23">
        <f t="shared" si="5"/>
        <v>7</v>
      </c>
      <c r="AJ16" s="23">
        <f t="shared" si="6"/>
        <v>170</v>
      </c>
      <c r="AK16" s="136"/>
      <c r="AL16" s="136">
        <f t="shared" si="7"/>
        <v>170</v>
      </c>
    </row>
    <row r="17" spans="1:38">
      <c r="A17" s="22" t="s">
        <v>107</v>
      </c>
      <c r="B17" s="109">
        <f>'Resid Cust Fcst '!H18</f>
        <v>0</v>
      </c>
      <c r="C17" s="23">
        <f>'Resid Cust Fcst '!O18</f>
        <v>0</v>
      </c>
      <c r="D17" s="23">
        <f>'Resid Cust Fcst '!V18</f>
        <v>0</v>
      </c>
      <c r="E17" s="23">
        <f>'Resid Cust Fcst '!AC18</f>
        <v>0</v>
      </c>
      <c r="F17" s="23">
        <f>'Resid Cust Fcst '!AJ18</f>
        <v>0</v>
      </c>
      <c r="G17" s="23">
        <f>'Resid Cust Fcst '!AQ18</f>
        <v>0</v>
      </c>
      <c r="H17" s="23">
        <f>'Resid Cust Fcst '!AX18</f>
        <v>0</v>
      </c>
      <c r="I17" s="23">
        <f>'Resid Cust Fcst '!BE18</f>
        <v>0</v>
      </c>
      <c r="J17" s="23">
        <f>'Resid Cust Fcst '!BL18</f>
        <v>0</v>
      </c>
      <c r="K17" s="23">
        <f>'Resid Cust Fcst '!BS18</f>
        <v>0</v>
      </c>
      <c r="L17" s="41">
        <f t="shared" si="0"/>
        <v>0</v>
      </c>
      <c r="M17" s="23">
        <f>'Sm Comm Cust Fcst'!F18</f>
        <v>0</v>
      </c>
      <c r="N17" s="23">
        <f>'Sm Comm Cust Fcst'!G18</f>
        <v>0</v>
      </c>
      <c r="O17" s="23">
        <f>'Sm Comm Cust Fcst'!M18</f>
        <v>0</v>
      </c>
      <c r="P17" s="23">
        <f>'Sm Comm Cust Fcst'!T18</f>
        <v>0</v>
      </c>
      <c r="Q17" s="23">
        <f>'Sm Comm Cust Fcst'!AA18</f>
        <v>0</v>
      </c>
      <c r="R17" s="41">
        <f t="shared" si="1"/>
        <v>0</v>
      </c>
      <c r="S17" s="23">
        <f>'Sch AL-TOU Cust Fcst'!F16</f>
        <v>103</v>
      </c>
      <c r="T17" s="23">
        <f>'Sch AL-TOU Cust Fcst'!G16</f>
        <v>6</v>
      </c>
      <c r="U17" s="23">
        <f>'Sch AL-TOU Cust Fcst'!H16</f>
        <v>0</v>
      </c>
      <c r="V17" s="23">
        <f>'Sch DG-R Cust Fcst'!F16</f>
        <v>16</v>
      </c>
      <c r="W17" s="23">
        <f>'Sch DG-R Cust Fcst'!G16</f>
        <v>0</v>
      </c>
      <c r="X17" s="23">
        <f>'Sch A6-TOU Cust Fcst '!B16</f>
        <v>0</v>
      </c>
      <c r="Y17" s="23">
        <f>'Sch A6-TOU Cust Fcst '!C16</f>
        <v>0</v>
      </c>
      <c r="Z17" s="23">
        <f>'Sch OL-TOU Cust Fcst'!F16</f>
        <v>0</v>
      </c>
      <c r="AA17" s="41">
        <f t="shared" si="2"/>
        <v>125</v>
      </c>
      <c r="AB17" s="23"/>
      <c r="AC17" s="23"/>
      <c r="AD17" s="23">
        <f>'Sch TOU-PA Cust Fcst'!F16</f>
        <v>0</v>
      </c>
      <c r="AE17" s="23">
        <f>'Sch TOU-PA Cust Fcst'!G16</f>
        <v>0</v>
      </c>
      <c r="AF17" s="41">
        <f t="shared" si="3"/>
        <v>0</v>
      </c>
      <c r="AG17" s="109"/>
      <c r="AH17" s="109">
        <f t="shared" si="4"/>
        <v>119</v>
      </c>
      <c r="AI17" s="23">
        <f t="shared" si="5"/>
        <v>6</v>
      </c>
      <c r="AJ17" s="23">
        <f t="shared" si="6"/>
        <v>125</v>
      </c>
      <c r="AK17" s="136"/>
      <c r="AL17" s="136">
        <f t="shared" si="7"/>
        <v>125</v>
      </c>
    </row>
    <row r="18" spans="1:38">
      <c r="A18" s="22" t="s">
        <v>12</v>
      </c>
      <c r="B18" s="109">
        <f>'Resid Cust Fcst '!H19</f>
        <v>0</v>
      </c>
      <c r="C18" s="23">
        <f>'Resid Cust Fcst '!O19</f>
        <v>0</v>
      </c>
      <c r="D18" s="23">
        <f>'Resid Cust Fcst '!V19</f>
        <v>0</v>
      </c>
      <c r="E18" s="23">
        <f>'Resid Cust Fcst '!AC19</f>
        <v>0</v>
      </c>
      <c r="F18" s="23">
        <f>'Resid Cust Fcst '!AJ19</f>
        <v>0</v>
      </c>
      <c r="G18" s="23">
        <f>'Resid Cust Fcst '!AQ19</f>
        <v>0</v>
      </c>
      <c r="H18" s="23">
        <f>'Resid Cust Fcst '!AX19</f>
        <v>0</v>
      </c>
      <c r="I18" s="23">
        <f>'Resid Cust Fcst '!BE19</f>
        <v>0</v>
      </c>
      <c r="J18" s="23">
        <f>'Resid Cust Fcst '!BL19</f>
        <v>0</v>
      </c>
      <c r="K18" s="23">
        <f>'Resid Cust Fcst '!BS19</f>
        <v>0</v>
      </c>
      <c r="L18" s="41">
        <f t="shared" si="0"/>
        <v>0</v>
      </c>
      <c r="M18" s="23">
        <f>'Sm Comm Cust Fcst'!F19</f>
        <v>0</v>
      </c>
      <c r="N18" s="23">
        <f>'Sm Comm Cust Fcst'!G19</f>
        <v>0</v>
      </c>
      <c r="O18" s="23">
        <f>'Sm Comm Cust Fcst'!M19</f>
        <v>0</v>
      </c>
      <c r="P18" s="23">
        <f>'Sm Comm Cust Fcst'!T19</f>
        <v>0</v>
      </c>
      <c r="Q18" s="23">
        <f>'Sm Comm Cust Fcst'!AA19</f>
        <v>0</v>
      </c>
      <c r="R18" s="41">
        <f t="shared" si="1"/>
        <v>0</v>
      </c>
      <c r="S18" s="23">
        <f>'Sch AL-TOU Cust Fcst'!F17</f>
        <v>103</v>
      </c>
      <c r="T18" s="23">
        <f>'Sch AL-TOU Cust Fcst'!G17</f>
        <v>3</v>
      </c>
      <c r="U18" s="23">
        <f>'Sch AL-TOU Cust Fcst'!H17</f>
        <v>0</v>
      </c>
      <c r="V18" s="23">
        <f>'Sch DG-R Cust Fcst'!F17</f>
        <v>16</v>
      </c>
      <c r="W18" s="23">
        <f>'Sch DG-R Cust Fcst'!G17</f>
        <v>3</v>
      </c>
      <c r="X18" s="23">
        <f>'Sch A6-TOU Cust Fcst '!B17</f>
        <v>0</v>
      </c>
      <c r="Y18" s="23">
        <f>'Sch A6-TOU Cust Fcst '!C17</f>
        <v>0</v>
      </c>
      <c r="Z18" s="23">
        <f>'Sch OL-TOU Cust Fcst'!F17</f>
        <v>0</v>
      </c>
      <c r="AA18" s="41">
        <f t="shared" si="2"/>
        <v>125</v>
      </c>
      <c r="AB18" s="23"/>
      <c r="AC18" s="23"/>
      <c r="AD18" s="23">
        <f>'Sch TOU-PA Cust Fcst'!F17</f>
        <v>0</v>
      </c>
      <c r="AE18" s="23">
        <f>'Sch TOU-PA Cust Fcst'!G17</f>
        <v>0</v>
      </c>
      <c r="AF18" s="41">
        <f t="shared" si="3"/>
        <v>0</v>
      </c>
      <c r="AG18" s="109"/>
      <c r="AH18" s="109">
        <f t="shared" si="4"/>
        <v>119</v>
      </c>
      <c r="AI18" s="23">
        <f t="shared" si="5"/>
        <v>6</v>
      </c>
      <c r="AJ18" s="23">
        <f t="shared" si="6"/>
        <v>125</v>
      </c>
      <c r="AK18" s="136"/>
      <c r="AL18" s="136">
        <f t="shared" si="7"/>
        <v>125</v>
      </c>
    </row>
    <row r="19" spans="1:38">
      <c r="A19" s="22" t="s">
        <v>13</v>
      </c>
      <c r="B19" s="109">
        <f>'Resid Cust Fcst '!H20</f>
        <v>0</v>
      </c>
      <c r="C19" s="23">
        <f>'Resid Cust Fcst '!O20</f>
        <v>0</v>
      </c>
      <c r="D19" s="23">
        <f>'Resid Cust Fcst '!V20</f>
        <v>0</v>
      </c>
      <c r="E19" s="23">
        <f>'Resid Cust Fcst '!AC20</f>
        <v>0</v>
      </c>
      <c r="F19" s="23">
        <f>'Resid Cust Fcst '!AJ20</f>
        <v>0</v>
      </c>
      <c r="G19" s="23">
        <f>'Resid Cust Fcst '!AQ20</f>
        <v>0</v>
      </c>
      <c r="H19" s="23">
        <f>'Resid Cust Fcst '!AX20</f>
        <v>0</v>
      </c>
      <c r="I19" s="23">
        <f>'Resid Cust Fcst '!BE20</f>
        <v>0</v>
      </c>
      <c r="J19" s="23">
        <f>'Resid Cust Fcst '!BL20</f>
        <v>0</v>
      </c>
      <c r="K19" s="23">
        <f>'Resid Cust Fcst '!BS20</f>
        <v>0</v>
      </c>
      <c r="L19" s="41">
        <f t="shared" si="0"/>
        <v>0</v>
      </c>
      <c r="M19" s="23">
        <f>'Sm Comm Cust Fcst'!F20</f>
        <v>0</v>
      </c>
      <c r="N19" s="23">
        <f>'Sm Comm Cust Fcst'!G20</f>
        <v>0</v>
      </c>
      <c r="O19" s="23">
        <f>'Sm Comm Cust Fcst'!M20</f>
        <v>0</v>
      </c>
      <c r="P19" s="23">
        <f>'Sm Comm Cust Fcst'!T20</f>
        <v>0</v>
      </c>
      <c r="Q19" s="23">
        <f>'Sm Comm Cust Fcst'!AA20</f>
        <v>0</v>
      </c>
      <c r="R19" s="41">
        <f t="shared" si="1"/>
        <v>0</v>
      </c>
      <c r="S19" s="23">
        <f>'Sch AL-TOU Cust Fcst'!F18</f>
        <v>29</v>
      </c>
      <c r="T19" s="23">
        <f>'Sch AL-TOU Cust Fcst'!G18</f>
        <v>11</v>
      </c>
      <c r="U19" s="23">
        <f>'Sch AL-TOU Cust Fcst'!H18</f>
        <v>0</v>
      </c>
      <c r="V19" s="23">
        <f>'Sch DG-R Cust Fcst'!F18</f>
        <v>8</v>
      </c>
      <c r="W19" s="23">
        <f>'Sch DG-R Cust Fcst'!G18</f>
        <v>0</v>
      </c>
      <c r="X19" s="23">
        <f>'Sch A6-TOU Cust Fcst '!B18</f>
        <v>0</v>
      </c>
      <c r="Y19" s="23">
        <f>'Sch A6-TOU Cust Fcst '!C18</f>
        <v>0</v>
      </c>
      <c r="Z19" s="23">
        <f>'Sch OL-TOU Cust Fcst'!F18</f>
        <v>0</v>
      </c>
      <c r="AA19" s="41">
        <f t="shared" si="2"/>
        <v>48</v>
      </c>
      <c r="AB19" s="23"/>
      <c r="AC19" s="23"/>
      <c r="AD19" s="23">
        <f>'Sch TOU-PA Cust Fcst'!F18</f>
        <v>0</v>
      </c>
      <c r="AE19" s="23">
        <f>'Sch TOU-PA Cust Fcst'!G18</f>
        <v>0</v>
      </c>
      <c r="AF19" s="41">
        <f t="shared" si="3"/>
        <v>0</v>
      </c>
      <c r="AG19" s="109"/>
      <c r="AH19" s="109">
        <f t="shared" si="4"/>
        <v>37</v>
      </c>
      <c r="AI19" s="23">
        <f t="shared" si="5"/>
        <v>11</v>
      </c>
      <c r="AJ19" s="23">
        <f t="shared" si="6"/>
        <v>48</v>
      </c>
      <c r="AK19" s="136"/>
      <c r="AL19" s="136">
        <f t="shared" si="7"/>
        <v>48</v>
      </c>
    </row>
    <row r="20" spans="1:38">
      <c r="A20" s="22" t="s">
        <v>108</v>
      </c>
      <c r="B20" s="109">
        <f>'Resid Cust Fcst '!H21</f>
        <v>0</v>
      </c>
      <c r="C20" s="23">
        <f>'Resid Cust Fcst '!O21</f>
        <v>0</v>
      </c>
      <c r="D20" s="23">
        <f>'Resid Cust Fcst '!V21</f>
        <v>0</v>
      </c>
      <c r="E20" s="23">
        <f>'Resid Cust Fcst '!AC21</f>
        <v>0</v>
      </c>
      <c r="F20" s="23">
        <f>'Resid Cust Fcst '!AJ21</f>
        <v>0</v>
      </c>
      <c r="G20" s="23">
        <f>'Resid Cust Fcst '!AQ21</f>
        <v>0</v>
      </c>
      <c r="H20" s="23">
        <f>'Resid Cust Fcst '!AX21</f>
        <v>0</v>
      </c>
      <c r="I20" s="23">
        <f>'Resid Cust Fcst '!BE21</f>
        <v>0</v>
      </c>
      <c r="J20" s="23">
        <f>'Resid Cust Fcst '!BL21</f>
        <v>0</v>
      </c>
      <c r="K20" s="23">
        <f>'Resid Cust Fcst '!BS21</f>
        <v>0</v>
      </c>
      <c r="L20" s="41">
        <f t="shared" si="0"/>
        <v>0</v>
      </c>
      <c r="M20" s="23">
        <f>'Sm Comm Cust Fcst'!F21</f>
        <v>0</v>
      </c>
      <c r="N20" s="23">
        <f>'Sm Comm Cust Fcst'!G21</f>
        <v>0</v>
      </c>
      <c r="O20" s="23">
        <f>'Sm Comm Cust Fcst'!M21</f>
        <v>0</v>
      </c>
      <c r="P20" s="23">
        <f>'Sm Comm Cust Fcst'!T21</f>
        <v>0</v>
      </c>
      <c r="Q20" s="23">
        <f>'Sm Comm Cust Fcst'!AA21</f>
        <v>0</v>
      </c>
      <c r="R20" s="41">
        <f t="shared" si="1"/>
        <v>0</v>
      </c>
      <c r="S20" s="23">
        <f>'Sch AL-TOU Cust Fcst'!F19</f>
        <v>12</v>
      </c>
      <c r="T20" s="23">
        <f>'Sch AL-TOU Cust Fcst'!G19</f>
        <v>1</v>
      </c>
      <c r="U20" s="23">
        <f>'Sch AL-TOU Cust Fcst'!H19</f>
        <v>0</v>
      </c>
      <c r="V20" s="23">
        <f>'Sch DG-R Cust Fcst'!F19</f>
        <v>3</v>
      </c>
      <c r="W20" s="23">
        <f>'Sch DG-R Cust Fcst'!G19</f>
        <v>1</v>
      </c>
      <c r="X20" s="23">
        <f>'Sch A6-TOU Cust Fcst '!B19</f>
        <v>0</v>
      </c>
      <c r="Y20" s="23">
        <f>'Sch A6-TOU Cust Fcst '!C19</f>
        <v>0</v>
      </c>
      <c r="Z20" s="23">
        <f>'Sch OL-TOU Cust Fcst'!F19</f>
        <v>0</v>
      </c>
      <c r="AA20" s="41">
        <f t="shared" si="2"/>
        <v>17</v>
      </c>
      <c r="AB20" s="23"/>
      <c r="AC20" s="23"/>
      <c r="AD20" s="23">
        <f>'Sch TOU-PA Cust Fcst'!F19</f>
        <v>1</v>
      </c>
      <c r="AE20" s="23">
        <f>'Sch TOU-PA Cust Fcst'!G19</f>
        <v>0</v>
      </c>
      <c r="AF20" s="41">
        <f t="shared" si="3"/>
        <v>1</v>
      </c>
      <c r="AG20" s="109"/>
      <c r="AH20" s="109">
        <f t="shared" si="4"/>
        <v>16</v>
      </c>
      <c r="AI20" s="23">
        <f t="shared" si="5"/>
        <v>2</v>
      </c>
      <c r="AJ20" s="23">
        <f t="shared" si="6"/>
        <v>18</v>
      </c>
      <c r="AK20" s="136"/>
      <c r="AL20" s="136">
        <f t="shared" si="7"/>
        <v>18</v>
      </c>
    </row>
    <row r="21" spans="1:38">
      <c r="A21" s="22" t="s">
        <v>109</v>
      </c>
      <c r="B21" s="109">
        <f>'Resid Cust Fcst '!H22</f>
        <v>0</v>
      </c>
      <c r="C21" s="23">
        <f>'Resid Cust Fcst '!O22</f>
        <v>0</v>
      </c>
      <c r="D21" s="23">
        <f>'Resid Cust Fcst '!V22</f>
        <v>0</v>
      </c>
      <c r="E21" s="23">
        <f>'Resid Cust Fcst '!AC22</f>
        <v>0</v>
      </c>
      <c r="F21" s="23">
        <f>'Resid Cust Fcst '!AJ22</f>
        <v>0</v>
      </c>
      <c r="G21" s="23">
        <f>'Resid Cust Fcst '!AQ22</f>
        <v>0</v>
      </c>
      <c r="H21" s="23">
        <f>'Resid Cust Fcst '!AX22</f>
        <v>0</v>
      </c>
      <c r="I21" s="23">
        <f>'Resid Cust Fcst '!BE22</f>
        <v>0</v>
      </c>
      <c r="J21" s="23">
        <f>'Resid Cust Fcst '!BL22</f>
        <v>0</v>
      </c>
      <c r="K21" s="23">
        <f>'Resid Cust Fcst '!BS22</f>
        <v>0</v>
      </c>
      <c r="L21" s="41">
        <f t="shared" si="0"/>
        <v>0</v>
      </c>
      <c r="M21" s="23">
        <f>'Sm Comm Cust Fcst'!F22</f>
        <v>0</v>
      </c>
      <c r="N21" s="23">
        <f>'Sm Comm Cust Fcst'!G22</f>
        <v>0</v>
      </c>
      <c r="O21" s="23">
        <f>'Sm Comm Cust Fcst'!M22</f>
        <v>0</v>
      </c>
      <c r="P21" s="23">
        <f>'Sm Comm Cust Fcst'!T22</f>
        <v>0</v>
      </c>
      <c r="Q21" s="23">
        <f>'Sm Comm Cust Fcst'!AA22</f>
        <v>0</v>
      </c>
      <c r="R21" s="41">
        <f t="shared" si="1"/>
        <v>0</v>
      </c>
      <c r="S21" s="23">
        <f>'Sch AL-TOU Cust Fcst'!F20</f>
        <v>7</v>
      </c>
      <c r="T21" s="23">
        <f>'Sch AL-TOU Cust Fcst'!G20</f>
        <v>0</v>
      </c>
      <c r="U21" s="23">
        <f>'Sch AL-TOU Cust Fcst'!H20</f>
        <v>0</v>
      </c>
      <c r="V21" s="23">
        <f>'Sch DG-R Cust Fcst'!F20</f>
        <v>1</v>
      </c>
      <c r="W21" s="23">
        <f>'Sch DG-R Cust Fcst'!G20</f>
        <v>0</v>
      </c>
      <c r="X21" s="23">
        <f>'Sch A6-TOU Cust Fcst '!B20</f>
        <v>0</v>
      </c>
      <c r="Y21" s="23">
        <f>'Sch A6-TOU Cust Fcst '!C20</f>
        <v>0</v>
      </c>
      <c r="Z21" s="23">
        <f>'Sch OL-TOU Cust Fcst'!F20</f>
        <v>0</v>
      </c>
      <c r="AA21" s="41">
        <f t="shared" si="2"/>
        <v>8</v>
      </c>
      <c r="AB21" s="23"/>
      <c r="AC21" s="23"/>
      <c r="AD21" s="23">
        <f>'Sch TOU-PA Cust Fcst'!F20</f>
        <v>0</v>
      </c>
      <c r="AE21" s="23">
        <f>'Sch TOU-PA Cust Fcst'!G20</f>
        <v>0</v>
      </c>
      <c r="AF21" s="41">
        <f t="shared" si="3"/>
        <v>0</v>
      </c>
      <c r="AG21" s="109"/>
      <c r="AH21" s="109">
        <f t="shared" si="4"/>
        <v>8</v>
      </c>
      <c r="AI21" s="23">
        <f t="shared" si="5"/>
        <v>0</v>
      </c>
      <c r="AJ21" s="23">
        <f t="shared" si="6"/>
        <v>8</v>
      </c>
      <c r="AK21" s="136"/>
      <c r="AL21" s="136">
        <f t="shared" si="7"/>
        <v>8</v>
      </c>
    </row>
    <row r="22" spans="1:38">
      <c r="A22" s="22" t="s">
        <v>14</v>
      </c>
      <c r="B22" s="109">
        <f>'Resid Cust Fcst '!H23</f>
        <v>0</v>
      </c>
      <c r="C22" s="23">
        <f>'Resid Cust Fcst '!O23</f>
        <v>0</v>
      </c>
      <c r="D22" s="23">
        <f>'Resid Cust Fcst '!V23</f>
        <v>0</v>
      </c>
      <c r="E22" s="23">
        <f>'Resid Cust Fcst '!AC23</f>
        <v>0</v>
      </c>
      <c r="F22" s="23">
        <f>'Resid Cust Fcst '!AJ23</f>
        <v>0</v>
      </c>
      <c r="G22" s="23">
        <f>'Resid Cust Fcst '!AQ23</f>
        <v>0</v>
      </c>
      <c r="H22" s="23">
        <f>'Resid Cust Fcst '!AX23</f>
        <v>0</v>
      </c>
      <c r="I22" s="23">
        <f>'Resid Cust Fcst '!BE23</f>
        <v>0</v>
      </c>
      <c r="J22" s="23">
        <f>'Resid Cust Fcst '!BL23</f>
        <v>0</v>
      </c>
      <c r="K22" s="23">
        <f>'Resid Cust Fcst '!BS23</f>
        <v>0</v>
      </c>
      <c r="L22" s="41">
        <f t="shared" si="0"/>
        <v>0</v>
      </c>
      <c r="M22" s="23">
        <f>'Sm Comm Cust Fcst'!F23</f>
        <v>0</v>
      </c>
      <c r="N22" s="23">
        <f>'Sm Comm Cust Fcst'!G23</f>
        <v>0</v>
      </c>
      <c r="O22" s="23">
        <f>'Sm Comm Cust Fcst'!M23</f>
        <v>0</v>
      </c>
      <c r="P22" s="23">
        <f>'Sm Comm Cust Fcst'!T23</f>
        <v>0</v>
      </c>
      <c r="Q22" s="23">
        <f>'Sm Comm Cust Fcst'!AA23</f>
        <v>0</v>
      </c>
      <c r="R22" s="41">
        <f t="shared" si="1"/>
        <v>0</v>
      </c>
      <c r="S22" s="23">
        <f>'Sch AL-TOU Cust Fcst'!F21</f>
        <v>10</v>
      </c>
      <c r="T22" s="23">
        <f>'Sch AL-TOU Cust Fcst'!G21</f>
        <v>3</v>
      </c>
      <c r="U22" s="23">
        <f>'Sch AL-TOU Cust Fcst'!H21</f>
        <v>0</v>
      </c>
      <c r="V22" s="23">
        <f>'Sch DG-R Cust Fcst'!F21</f>
        <v>1</v>
      </c>
      <c r="W22" s="23">
        <f>'Sch DG-R Cust Fcst'!G21</f>
        <v>3</v>
      </c>
      <c r="X22" s="23">
        <f>'Sch A6-TOU Cust Fcst '!B21</f>
        <v>0</v>
      </c>
      <c r="Y22" s="23">
        <f>'Sch A6-TOU Cust Fcst '!C21</f>
        <v>0</v>
      </c>
      <c r="Z22" s="23">
        <f>'Sch OL-TOU Cust Fcst'!F21</f>
        <v>0</v>
      </c>
      <c r="AA22" s="41">
        <f t="shared" si="2"/>
        <v>17</v>
      </c>
      <c r="AB22" s="23"/>
      <c r="AC22" s="23"/>
      <c r="AD22" s="23">
        <f>'Sch TOU-PA Cust Fcst'!F21</f>
        <v>0</v>
      </c>
      <c r="AE22" s="23">
        <f>'Sch TOU-PA Cust Fcst'!G21</f>
        <v>0</v>
      </c>
      <c r="AF22" s="41">
        <f t="shared" si="3"/>
        <v>0</v>
      </c>
      <c r="AG22" s="109"/>
      <c r="AH22" s="109">
        <f t="shared" si="4"/>
        <v>11</v>
      </c>
      <c r="AI22" s="23">
        <f t="shared" si="5"/>
        <v>6</v>
      </c>
      <c r="AJ22" s="23">
        <f t="shared" si="6"/>
        <v>17</v>
      </c>
      <c r="AK22" s="136"/>
      <c r="AL22" s="136">
        <f t="shared" si="7"/>
        <v>17</v>
      </c>
    </row>
    <row r="23" spans="1:38">
      <c r="A23" s="22" t="s">
        <v>15</v>
      </c>
      <c r="B23" s="109">
        <f>'Resid Cust Fcst '!H24</f>
        <v>0</v>
      </c>
      <c r="C23" s="23">
        <f>'Resid Cust Fcst '!O24</f>
        <v>0</v>
      </c>
      <c r="D23" s="23">
        <f>'Resid Cust Fcst '!V24</f>
        <v>0</v>
      </c>
      <c r="E23" s="23">
        <f>'Resid Cust Fcst '!AC24</f>
        <v>0</v>
      </c>
      <c r="F23" s="23">
        <f>'Resid Cust Fcst '!AJ24</f>
        <v>0</v>
      </c>
      <c r="G23" s="23">
        <f>'Resid Cust Fcst '!AQ24</f>
        <v>0</v>
      </c>
      <c r="H23" s="23">
        <f>'Resid Cust Fcst '!AX24</f>
        <v>0</v>
      </c>
      <c r="I23" s="23">
        <f>'Resid Cust Fcst '!BE24</f>
        <v>0</v>
      </c>
      <c r="J23" s="23">
        <f>'Resid Cust Fcst '!BL24</f>
        <v>0</v>
      </c>
      <c r="K23" s="23">
        <f>'Resid Cust Fcst '!BS24</f>
        <v>0</v>
      </c>
      <c r="L23" s="41">
        <f t="shared" si="0"/>
        <v>0</v>
      </c>
      <c r="M23" s="23">
        <f>'Sm Comm Cust Fcst'!F24</f>
        <v>0</v>
      </c>
      <c r="N23" s="23">
        <f>'Sm Comm Cust Fcst'!G24</f>
        <v>0</v>
      </c>
      <c r="O23" s="23">
        <f>'Sm Comm Cust Fcst'!M24</f>
        <v>0</v>
      </c>
      <c r="P23" s="23">
        <f>'Sm Comm Cust Fcst'!T24</f>
        <v>0</v>
      </c>
      <c r="Q23" s="23">
        <f>'Sm Comm Cust Fcst'!AA24</f>
        <v>0</v>
      </c>
      <c r="R23" s="41">
        <f t="shared" si="1"/>
        <v>0</v>
      </c>
      <c r="S23" s="23">
        <f>'Sch AL-TOU Cust Fcst'!F22</f>
        <v>2</v>
      </c>
      <c r="T23" s="23">
        <f>'Sch AL-TOU Cust Fcst'!G22</f>
        <v>0</v>
      </c>
      <c r="U23" s="23">
        <f>'Sch AL-TOU Cust Fcst'!H22</f>
        <v>0</v>
      </c>
      <c r="V23" s="23">
        <f>'Sch DG-R Cust Fcst'!F22</f>
        <v>1</v>
      </c>
      <c r="W23" s="23">
        <f>'Sch DG-R Cust Fcst'!G22</f>
        <v>2</v>
      </c>
      <c r="X23" s="23">
        <f>'Sch A6-TOU Cust Fcst '!B22</f>
        <v>0</v>
      </c>
      <c r="Y23" s="23">
        <f>'Sch A6-TOU Cust Fcst '!C22</f>
        <v>0</v>
      </c>
      <c r="Z23" s="23">
        <f>'Sch OL-TOU Cust Fcst'!F22</f>
        <v>0</v>
      </c>
      <c r="AA23" s="41">
        <f t="shared" si="2"/>
        <v>5</v>
      </c>
      <c r="AB23" s="23"/>
      <c r="AC23" s="23"/>
      <c r="AD23" s="23">
        <f>'Sch TOU-PA Cust Fcst'!F22</f>
        <v>0</v>
      </c>
      <c r="AE23" s="23">
        <f>'Sch TOU-PA Cust Fcst'!G22</f>
        <v>0</v>
      </c>
      <c r="AF23" s="41">
        <f t="shared" si="3"/>
        <v>0</v>
      </c>
      <c r="AG23" s="109"/>
      <c r="AH23" s="109">
        <f t="shared" si="4"/>
        <v>3</v>
      </c>
      <c r="AI23" s="23">
        <f t="shared" si="5"/>
        <v>2</v>
      </c>
      <c r="AJ23" s="23">
        <f t="shared" si="6"/>
        <v>5</v>
      </c>
      <c r="AK23" s="136"/>
      <c r="AL23" s="136">
        <f t="shared" si="7"/>
        <v>5</v>
      </c>
    </row>
    <row r="24" spans="1:38">
      <c r="A24" s="21" t="s">
        <v>16</v>
      </c>
      <c r="B24" s="109">
        <f>'Resid Cust Fcst '!H25</f>
        <v>0</v>
      </c>
      <c r="C24" s="23">
        <f>'Resid Cust Fcst '!O25</f>
        <v>0</v>
      </c>
      <c r="D24" s="23">
        <f>'Resid Cust Fcst '!V25</f>
        <v>0</v>
      </c>
      <c r="E24" s="23">
        <f>'Resid Cust Fcst '!AC25</f>
        <v>0</v>
      </c>
      <c r="F24" s="23">
        <f>'Resid Cust Fcst '!AJ25</f>
        <v>0</v>
      </c>
      <c r="G24" s="23">
        <f>'Resid Cust Fcst '!AQ25</f>
        <v>0</v>
      </c>
      <c r="H24" s="23">
        <f>'Resid Cust Fcst '!AX25</f>
        <v>0</v>
      </c>
      <c r="I24" s="23">
        <f>'Resid Cust Fcst '!BE25</f>
        <v>0</v>
      </c>
      <c r="J24" s="23">
        <f>'Resid Cust Fcst '!BL25</f>
        <v>0</v>
      </c>
      <c r="K24" s="23">
        <f>'Resid Cust Fcst '!BS25</f>
        <v>0</v>
      </c>
      <c r="L24" s="41">
        <f t="shared" si="0"/>
        <v>0</v>
      </c>
      <c r="M24" s="23">
        <f>'Sm Comm Cust Fcst'!F25</f>
        <v>0</v>
      </c>
      <c r="N24" s="23">
        <f>'Sm Comm Cust Fcst'!G25</f>
        <v>0</v>
      </c>
      <c r="O24" s="23">
        <f>'Sm Comm Cust Fcst'!M25</f>
        <v>0</v>
      </c>
      <c r="P24" s="23">
        <f>'Sm Comm Cust Fcst'!T25</f>
        <v>0</v>
      </c>
      <c r="Q24" s="23">
        <f>'Sm Comm Cust Fcst'!AA25</f>
        <v>0</v>
      </c>
      <c r="R24" s="41">
        <f t="shared" si="1"/>
        <v>0</v>
      </c>
      <c r="S24" s="23">
        <f>'Sch AL-TOU Cust Fcst'!F23</f>
        <v>0</v>
      </c>
      <c r="T24" s="23">
        <f>'Sch AL-TOU Cust Fcst'!G23</f>
        <v>1</v>
      </c>
      <c r="U24" s="23">
        <f>'Sch AL-TOU Cust Fcst'!H23</f>
        <v>0</v>
      </c>
      <c r="V24" s="23">
        <f>'Sch DG-R Cust Fcst'!F23</f>
        <v>0</v>
      </c>
      <c r="W24" s="23">
        <f>'Sch DG-R Cust Fcst'!G23</f>
        <v>0</v>
      </c>
      <c r="X24" s="23">
        <f>'Sch A6-TOU Cust Fcst '!B23</f>
        <v>0</v>
      </c>
      <c r="Y24" s="23">
        <f>'Sch A6-TOU Cust Fcst '!C23</f>
        <v>0</v>
      </c>
      <c r="Z24" s="23">
        <f>'Sch OL-TOU Cust Fcst'!F23</f>
        <v>0</v>
      </c>
      <c r="AA24" s="41">
        <f t="shared" si="2"/>
        <v>1</v>
      </c>
      <c r="AB24" s="23"/>
      <c r="AC24" s="23"/>
      <c r="AD24" s="23">
        <f>'Sch TOU-PA Cust Fcst'!F23</f>
        <v>0</v>
      </c>
      <c r="AE24" s="23">
        <f>'Sch TOU-PA Cust Fcst'!G23</f>
        <v>0</v>
      </c>
      <c r="AF24" s="41">
        <f t="shared" si="3"/>
        <v>0</v>
      </c>
      <c r="AG24" s="109"/>
      <c r="AH24" s="109">
        <f t="shared" si="4"/>
        <v>0</v>
      </c>
      <c r="AI24" s="23">
        <f t="shared" si="5"/>
        <v>1</v>
      </c>
      <c r="AJ24" s="23">
        <f t="shared" si="6"/>
        <v>1</v>
      </c>
      <c r="AK24" s="136"/>
      <c r="AL24" s="136">
        <f t="shared" si="7"/>
        <v>1</v>
      </c>
    </row>
    <row r="25" spans="1:38">
      <c r="A25" s="22" t="s">
        <v>17</v>
      </c>
      <c r="B25" s="109">
        <f>'Resid Cust Fcst '!H26</f>
        <v>0</v>
      </c>
      <c r="C25" s="23">
        <f>'Resid Cust Fcst '!O26</f>
        <v>0</v>
      </c>
      <c r="D25" s="23">
        <f>'Resid Cust Fcst '!V26</f>
        <v>0</v>
      </c>
      <c r="E25" s="23">
        <f>'Resid Cust Fcst '!AC26</f>
        <v>0</v>
      </c>
      <c r="F25" s="23">
        <f>'Resid Cust Fcst '!AJ26</f>
        <v>0</v>
      </c>
      <c r="G25" s="23">
        <f>'Resid Cust Fcst '!AQ26</f>
        <v>0</v>
      </c>
      <c r="H25" s="23">
        <f>'Resid Cust Fcst '!AX26</f>
        <v>0</v>
      </c>
      <c r="I25" s="23">
        <f>'Resid Cust Fcst '!BE26</f>
        <v>0</v>
      </c>
      <c r="J25" s="23">
        <f>'Resid Cust Fcst '!BL26</f>
        <v>0</v>
      </c>
      <c r="K25" s="23">
        <f>'Resid Cust Fcst '!BS26</f>
        <v>0</v>
      </c>
      <c r="L25" s="41">
        <f t="shared" si="0"/>
        <v>0</v>
      </c>
      <c r="M25" s="23">
        <f>'Sm Comm Cust Fcst'!F26</f>
        <v>0</v>
      </c>
      <c r="N25" s="23">
        <f>'Sm Comm Cust Fcst'!G26</f>
        <v>0</v>
      </c>
      <c r="O25" s="23">
        <f>'Sm Comm Cust Fcst'!M26</f>
        <v>0</v>
      </c>
      <c r="P25" s="23">
        <f>'Sm Comm Cust Fcst'!T26</f>
        <v>0</v>
      </c>
      <c r="Q25" s="23">
        <f>'Sm Comm Cust Fcst'!AA26</f>
        <v>0</v>
      </c>
      <c r="R25" s="41">
        <f t="shared" si="1"/>
        <v>0</v>
      </c>
      <c r="S25" s="23">
        <f>'Sch AL-TOU Cust Fcst'!F24</f>
        <v>3</v>
      </c>
      <c r="T25" s="23">
        <f>'Sch AL-TOU Cust Fcst'!G24</f>
        <v>4</v>
      </c>
      <c r="U25" s="23">
        <f>'Sch AL-TOU Cust Fcst'!H24</f>
        <v>0</v>
      </c>
      <c r="V25" s="23">
        <f>'Sch DG-R Cust Fcst'!F24</f>
        <v>0</v>
      </c>
      <c r="W25" s="23">
        <f>'Sch DG-R Cust Fcst'!G24</f>
        <v>1</v>
      </c>
      <c r="X25" s="23">
        <f>'Sch A6-TOU Cust Fcst '!B24</f>
        <v>1</v>
      </c>
      <c r="Y25" s="23">
        <f>'Sch A6-TOU Cust Fcst '!C24</f>
        <v>0</v>
      </c>
      <c r="Z25" s="23">
        <f>'Sch OL-TOU Cust Fcst'!F24</f>
        <v>0</v>
      </c>
      <c r="AA25" s="41">
        <f t="shared" si="2"/>
        <v>9</v>
      </c>
      <c r="AB25" s="23"/>
      <c r="AC25" s="23"/>
      <c r="AD25" s="23">
        <f>'Sch TOU-PA Cust Fcst'!F24</f>
        <v>0</v>
      </c>
      <c r="AE25" s="23">
        <f>'Sch TOU-PA Cust Fcst'!G24</f>
        <v>0</v>
      </c>
      <c r="AF25" s="41">
        <f t="shared" si="3"/>
        <v>0</v>
      </c>
      <c r="AG25" s="109"/>
      <c r="AH25" s="109">
        <f t="shared" si="4"/>
        <v>3</v>
      </c>
      <c r="AI25" s="23">
        <f t="shared" si="5"/>
        <v>6</v>
      </c>
      <c r="AJ25" s="23">
        <f t="shared" si="6"/>
        <v>9</v>
      </c>
      <c r="AK25" s="136"/>
      <c r="AL25" s="136">
        <f t="shared" si="7"/>
        <v>9</v>
      </c>
    </row>
    <row r="26" spans="1:38">
      <c r="A26" s="22" t="s">
        <v>18</v>
      </c>
      <c r="B26" s="109">
        <f>'Resid Cust Fcst '!H27</f>
        <v>0</v>
      </c>
      <c r="C26" s="23">
        <f>'Resid Cust Fcst '!O27</f>
        <v>0</v>
      </c>
      <c r="D26" s="23">
        <f>'Resid Cust Fcst '!V27</f>
        <v>0</v>
      </c>
      <c r="E26" s="23">
        <f>'Resid Cust Fcst '!AC27</f>
        <v>0</v>
      </c>
      <c r="F26" s="23">
        <f>'Resid Cust Fcst '!AJ27</f>
        <v>0</v>
      </c>
      <c r="G26" s="23">
        <f>'Resid Cust Fcst '!AQ27</f>
        <v>0</v>
      </c>
      <c r="H26" s="23">
        <f>'Resid Cust Fcst '!AX27</f>
        <v>0</v>
      </c>
      <c r="I26" s="23">
        <f>'Resid Cust Fcst '!BE27</f>
        <v>0</v>
      </c>
      <c r="J26" s="23">
        <f>'Resid Cust Fcst '!BL27</f>
        <v>0</v>
      </c>
      <c r="K26" s="23">
        <f>'Resid Cust Fcst '!BS27</f>
        <v>0</v>
      </c>
      <c r="L26" s="41">
        <f t="shared" si="0"/>
        <v>0</v>
      </c>
      <c r="M26" s="23">
        <f>'Sm Comm Cust Fcst'!F27</f>
        <v>0</v>
      </c>
      <c r="N26" s="23">
        <f>'Sm Comm Cust Fcst'!G27</f>
        <v>0</v>
      </c>
      <c r="O26" s="23">
        <f>'Sm Comm Cust Fcst'!M27</f>
        <v>0</v>
      </c>
      <c r="P26" s="23">
        <f>'Sm Comm Cust Fcst'!T27</f>
        <v>0</v>
      </c>
      <c r="Q26" s="23">
        <f>'Sm Comm Cust Fcst'!AA27</f>
        <v>0</v>
      </c>
      <c r="R26" s="41">
        <f t="shared" si="1"/>
        <v>0</v>
      </c>
      <c r="S26" s="23">
        <f>'Sch AL-TOU Cust Fcst'!F25</f>
        <v>1</v>
      </c>
      <c r="T26" s="23">
        <f>'Sch AL-TOU Cust Fcst'!G25</f>
        <v>1</v>
      </c>
      <c r="U26" s="23">
        <f>'Sch AL-TOU Cust Fcst'!H25</f>
        <v>0</v>
      </c>
      <c r="V26" s="23">
        <f>'Sch DG-R Cust Fcst'!F25</f>
        <v>0</v>
      </c>
      <c r="W26" s="23">
        <f>'Sch DG-R Cust Fcst'!G25</f>
        <v>0</v>
      </c>
      <c r="X26" s="23">
        <f>'Sch A6-TOU Cust Fcst '!B25</f>
        <v>0</v>
      </c>
      <c r="Y26" s="23">
        <f>'Sch A6-TOU Cust Fcst '!C25</f>
        <v>0</v>
      </c>
      <c r="Z26" s="23">
        <f>'Sch OL-TOU Cust Fcst'!F25</f>
        <v>0</v>
      </c>
      <c r="AA26" s="41">
        <f t="shared" si="2"/>
        <v>2</v>
      </c>
      <c r="AB26" s="23"/>
      <c r="AC26" s="23"/>
      <c r="AD26" s="23">
        <f>'Sch TOU-PA Cust Fcst'!F25</f>
        <v>0</v>
      </c>
      <c r="AE26" s="23">
        <f>'Sch TOU-PA Cust Fcst'!G25</f>
        <v>0</v>
      </c>
      <c r="AF26" s="41">
        <f t="shared" si="3"/>
        <v>0</v>
      </c>
      <c r="AG26" s="109"/>
      <c r="AH26" s="109">
        <f t="shared" si="4"/>
        <v>1</v>
      </c>
      <c r="AI26" s="23">
        <f t="shared" si="5"/>
        <v>1</v>
      </c>
      <c r="AJ26" s="23">
        <f t="shared" si="6"/>
        <v>2</v>
      </c>
      <c r="AK26" s="136"/>
      <c r="AL26" s="136">
        <f t="shared" si="7"/>
        <v>2</v>
      </c>
    </row>
    <row r="27" spans="1:38">
      <c r="A27" s="22" t="s">
        <v>19</v>
      </c>
      <c r="B27" s="109">
        <f>'Resid Cust Fcst '!H28</f>
        <v>0</v>
      </c>
      <c r="C27" s="23">
        <f>'Resid Cust Fcst '!O28</f>
        <v>0</v>
      </c>
      <c r="D27" s="23">
        <f>'Resid Cust Fcst '!V28</f>
        <v>0</v>
      </c>
      <c r="E27" s="23">
        <f>'Resid Cust Fcst '!AC28</f>
        <v>0</v>
      </c>
      <c r="F27" s="23">
        <f>'Resid Cust Fcst '!AJ28</f>
        <v>0</v>
      </c>
      <c r="G27" s="23">
        <f>'Resid Cust Fcst '!AQ28</f>
        <v>0</v>
      </c>
      <c r="H27" s="23">
        <f>'Resid Cust Fcst '!AX28</f>
        <v>0</v>
      </c>
      <c r="I27" s="23">
        <f>'Resid Cust Fcst '!BE28</f>
        <v>0</v>
      </c>
      <c r="J27" s="23">
        <f>'Resid Cust Fcst '!BL28</f>
        <v>0</v>
      </c>
      <c r="K27" s="23">
        <f>'Resid Cust Fcst '!BS28</f>
        <v>0</v>
      </c>
      <c r="L27" s="41">
        <f t="shared" si="0"/>
        <v>0</v>
      </c>
      <c r="M27" s="23">
        <f>'Sm Comm Cust Fcst'!F28</f>
        <v>0</v>
      </c>
      <c r="N27" s="23">
        <f>'Sm Comm Cust Fcst'!G28</f>
        <v>0</v>
      </c>
      <c r="O27" s="23">
        <f>'Sm Comm Cust Fcst'!M28</f>
        <v>0</v>
      </c>
      <c r="P27" s="23">
        <f>'Sm Comm Cust Fcst'!T28</f>
        <v>0</v>
      </c>
      <c r="Q27" s="23">
        <f>'Sm Comm Cust Fcst'!AA28</f>
        <v>0</v>
      </c>
      <c r="R27" s="41">
        <f t="shared" si="1"/>
        <v>0</v>
      </c>
      <c r="S27" s="23">
        <f>'Sch AL-TOU Cust Fcst'!F26</f>
        <v>0</v>
      </c>
      <c r="T27" s="23">
        <f>'Sch AL-TOU Cust Fcst'!G26</f>
        <v>1</v>
      </c>
      <c r="U27" s="23">
        <f>'Sch AL-TOU Cust Fcst'!H26</f>
        <v>0</v>
      </c>
      <c r="V27" s="23">
        <f>'Sch DG-R Cust Fcst'!F26</f>
        <v>0</v>
      </c>
      <c r="W27" s="23">
        <f>'Sch DG-R Cust Fcst'!G26</f>
        <v>0</v>
      </c>
      <c r="X27" s="23">
        <f>'Sch A6-TOU Cust Fcst '!B26</f>
        <v>0</v>
      </c>
      <c r="Y27" s="23">
        <f>'Sch A6-TOU Cust Fcst '!C26</f>
        <v>0</v>
      </c>
      <c r="Z27" s="23">
        <f>'Sch OL-TOU Cust Fcst'!F26</f>
        <v>0</v>
      </c>
      <c r="AA27" s="41">
        <f t="shared" si="2"/>
        <v>1</v>
      </c>
      <c r="AB27" s="23"/>
      <c r="AC27" s="23"/>
      <c r="AD27" s="23">
        <f>'Sch TOU-PA Cust Fcst'!F26</f>
        <v>0</v>
      </c>
      <c r="AE27" s="23">
        <f>'Sch TOU-PA Cust Fcst'!G26</f>
        <v>0</v>
      </c>
      <c r="AF27" s="41">
        <f t="shared" si="3"/>
        <v>0</v>
      </c>
      <c r="AG27" s="109"/>
      <c r="AH27" s="109">
        <f t="shared" si="4"/>
        <v>0</v>
      </c>
      <c r="AI27" s="23">
        <f t="shared" si="5"/>
        <v>1</v>
      </c>
      <c r="AJ27" s="23">
        <f t="shared" si="6"/>
        <v>1</v>
      </c>
      <c r="AK27" s="136"/>
      <c r="AL27" s="136">
        <f t="shared" si="7"/>
        <v>1</v>
      </c>
    </row>
    <row r="28" spans="1:38">
      <c r="A28" s="22" t="s">
        <v>20</v>
      </c>
      <c r="B28" s="109">
        <f>'Resid Cust Fcst '!H29</f>
        <v>0</v>
      </c>
      <c r="C28" s="23">
        <f>'Resid Cust Fcst '!O29</f>
        <v>0</v>
      </c>
      <c r="D28" s="23">
        <f>'Resid Cust Fcst '!V29</f>
        <v>0</v>
      </c>
      <c r="E28" s="23">
        <f>'Resid Cust Fcst '!AC29</f>
        <v>0</v>
      </c>
      <c r="F28" s="23">
        <f>'Resid Cust Fcst '!AJ29</f>
        <v>0</v>
      </c>
      <c r="G28" s="23">
        <f>'Resid Cust Fcst '!AQ29</f>
        <v>0</v>
      </c>
      <c r="H28" s="23">
        <f>'Resid Cust Fcst '!AX29</f>
        <v>0</v>
      </c>
      <c r="I28" s="23">
        <f>'Resid Cust Fcst '!BE29</f>
        <v>0</v>
      </c>
      <c r="J28" s="23">
        <f>'Resid Cust Fcst '!BL29</f>
        <v>0</v>
      </c>
      <c r="K28" s="23">
        <f>'Resid Cust Fcst '!BS29</f>
        <v>0</v>
      </c>
      <c r="L28" s="41">
        <f t="shared" si="0"/>
        <v>0</v>
      </c>
      <c r="M28" s="23">
        <f>'Sm Comm Cust Fcst'!F29</f>
        <v>0</v>
      </c>
      <c r="N28" s="23">
        <f>'Sm Comm Cust Fcst'!G29</f>
        <v>0</v>
      </c>
      <c r="O28" s="23">
        <f>'Sm Comm Cust Fcst'!M29</f>
        <v>0</v>
      </c>
      <c r="P28" s="23">
        <f>'Sm Comm Cust Fcst'!T29</f>
        <v>0</v>
      </c>
      <c r="Q28" s="23">
        <f>'Sm Comm Cust Fcst'!AA29</f>
        <v>0</v>
      </c>
      <c r="R28" s="41">
        <f t="shared" si="1"/>
        <v>0</v>
      </c>
      <c r="S28" s="23">
        <f>'Sch AL-TOU Cust Fcst'!F27</f>
        <v>0</v>
      </c>
      <c r="T28" s="23">
        <f>'Sch AL-TOU Cust Fcst'!G27</f>
        <v>0</v>
      </c>
      <c r="U28" s="23">
        <f>'Sch AL-TOU Cust Fcst'!H27</f>
        <v>0</v>
      </c>
      <c r="V28" s="23">
        <f>'Sch DG-R Cust Fcst'!F27</f>
        <v>0</v>
      </c>
      <c r="W28" s="23">
        <f>'Sch DG-R Cust Fcst'!G27</f>
        <v>0</v>
      </c>
      <c r="X28" s="23">
        <f>'Sch A6-TOU Cust Fcst '!B27</f>
        <v>0</v>
      </c>
      <c r="Y28" s="23">
        <f>'Sch A6-TOU Cust Fcst '!C27</f>
        <v>0</v>
      </c>
      <c r="Z28" s="23">
        <f>'Sch OL-TOU Cust Fcst'!F27</f>
        <v>0</v>
      </c>
      <c r="AA28" s="41">
        <f t="shared" si="2"/>
        <v>0</v>
      </c>
      <c r="AB28" s="23"/>
      <c r="AC28" s="23"/>
      <c r="AD28" s="23">
        <f>'Sch TOU-PA Cust Fcst'!F27</f>
        <v>0</v>
      </c>
      <c r="AE28" s="23">
        <f>'Sch TOU-PA Cust Fcst'!G27</f>
        <v>0</v>
      </c>
      <c r="AF28" s="41">
        <f t="shared" si="3"/>
        <v>0</v>
      </c>
      <c r="AG28" s="109"/>
      <c r="AH28" s="109">
        <f t="shared" si="4"/>
        <v>0</v>
      </c>
      <c r="AI28" s="23">
        <f t="shared" si="5"/>
        <v>0</v>
      </c>
      <c r="AJ28" s="23">
        <f t="shared" si="6"/>
        <v>0</v>
      </c>
      <c r="AK28" s="136"/>
      <c r="AL28" s="136">
        <f t="shared" si="7"/>
        <v>0</v>
      </c>
    </row>
    <row r="29" spans="1:38">
      <c r="A29" s="22" t="s">
        <v>21</v>
      </c>
      <c r="B29" s="109">
        <f>'Resid Cust Fcst '!H30</f>
        <v>0</v>
      </c>
      <c r="C29" s="23">
        <f>'Resid Cust Fcst '!O30</f>
        <v>0</v>
      </c>
      <c r="D29" s="23">
        <f>'Resid Cust Fcst '!V30</f>
        <v>0</v>
      </c>
      <c r="E29" s="23">
        <f>'Resid Cust Fcst '!AC30</f>
        <v>0</v>
      </c>
      <c r="F29" s="23">
        <f>'Resid Cust Fcst '!AJ30</f>
        <v>0</v>
      </c>
      <c r="G29" s="23">
        <f>'Resid Cust Fcst '!AQ30</f>
        <v>0</v>
      </c>
      <c r="H29" s="23">
        <f>'Resid Cust Fcst '!AX30</f>
        <v>0</v>
      </c>
      <c r="I29" s="23">
        <f>'Resid Cust Fcst '!BE30</f>
        <v>0</v>
      </c>
      <c r="J29" s="23">
        <f>'Resid Cust Fcst '!BL30</f>
        <v>0</v>
      </c>
      <c r="K29" s="23">
        <f>'Resid Cust Fcst '!BS30</f>
        <v>0</v>
      </c>
      <c r="L29" s="41">
        <f t="shared" si="0"/>
        <v>0</v>
      </c>
      <c r="M29" s="23">
        <f>'Sm Comm Cust Fcst'!F30</f>
        <v>0</v>
      </c>
      <c r="N29" s="23">
        <f>'Sm Comm Cust Fcst'!G30</f>
        <v>0</v>
      </c>
      <c r="O29" s="23">
        <f>'Sm Comm Cust Fcst'!M30</f>
        <v>0</v>
      </c>
      <c r="P29" s="23">
        <f>'Sm Comm Cust Fcst'!T30</f>
        <v>0</v>
      </c>
      <c r="Q29" s="23">
        <f>'Sm Comm Cust Fcst'!AA30</f>
        <v>0</v>
      </c>
      <c r="R29" s="41">
        <f t="shared" si="1"/>
        <v>0</v>
      </c>
      <c r="S29" s="23">
        <f>'Sch AL-TOU Cust Fcst'!F28</f>
        <v>0</v>
      </c>
      <c r="T29" s="23">
        <f>'Sch AL-TOU Cust Fcst'!G28</f>
        <v>0</v>
      </c>
      <c r="U29" s="23">
        <f>'Sch AL-TOU Cust Fcst'!H28</f>
        <v>0</v>
      </c>
      <c r="V29" s="23">
        <f>'Sch DG-R Cust Fcst'!F28</f>
        <v>0</v>
      </c>
      <c r="W29" s="23">
        <f>'Sch DG-R Cust Fcst'!G28</f>
        <v>0</v>
      </c>
      <c r="X29" s="23">
        <f>'Sch A6-TOU Cust Fcst '!B28</f>
        <v>0</v>
      </c>
      <c r="Y29" s="23">
        <f>'Sch A6-TOU Cust Fcst '!C28</f>
        <v>0</v>
      </c>
      <c r="Z29" s="23">
        <f>'Sch OL-TOU Cust Fcst'!F28</f>
        <v>0</v>
      </c>
      <c r="AA29" s="41">
        <f t="shared" si="2"/>
        <v>0</v>
      </c>
      <c r="AB29" s="23"/>
      <c r="AC29" s="23"/>
      <c r="AD29" s="23">
        <f>'Sch TOU-PA Cust Fcst'!F28</f>
        <v>0</v>
      </c>
      <c r="AE29" s="23">
        <f>'Sch TOU-PA Cust Fcst'!G28</f>
        <v>0</v>
      </c>
      <c r="AF29" s="41">
        <f t="shared" si="3"/>
        <v>0</v>
      </c>
      <c r="AG29" s="109"/>
      <c r="AH29" s="109">
        <f t="shared" si="4"/>
        <v>0</v>
      </c>
      <c r="AI29" s="23">
        <f t="shared" si="5"/>
        <v>0</v>
      </c>
      <c r="AJ29" s="23">
        <f t="shared" si="6"/>
        <v>0</v>
      </c>
      <c r="AK29" s="136"/>
      <c r="AL29" s="136">
        <f t="shared" si="7"/>
        <v>0</v>
      </c>
    </row>
    <row r="30" spans="1:38">
      <c r="A30" s="22" t="s">
        <v>22</v>
      </c>
      <c r="B30" s="109">
        <f>'Resid Cust Fcst '!H31</f>
        <v>0</v>
      </c>
      <c r="C30" s="23">
        <f>'Resid Cust Fcst '!O31</f>
        <v>0</v>
      </c>
      <c r="D30" s="23">
        <f>'Resid Cust Fcst '!V31</f>
        <v>0</v>
      </c>
      <c r="E30" s="23">
        <f>'Resid Cust Fcst '!AC31</f>
        <v>0</v>
      </c>
      <c r="F30" s="23">
        <f>'Resid Cust Fcst '!AJ31</f>
        <v>0</v>
      </c>
      <c r="G30" s="23">
        <f>'Resid Cust Fcst '!AQ31</f>
        <v>0</v>
      </c>
      <c r="H30" s="23">
        <f>'Resid Cust Fcst '!AX31</f>
        <v>0</v>
      </c>
      <c r="I30" s="23">
        <f>'Resid Cust Fcst '!BE31</f>
        <v>0</v>
      </c>
      <c r="J30" s="23">
        <f>'Resid Cust Fcst '!BL31</f>
        <v>0</v>
      </c>
      <c r="K30" s="23">
        <f>'Resid Cust Fcst '!BS31</f>
        <v>0</v>
      </c>
      <c r="L30" s="41">
        <f t="shared" si="0"/>
        <v>0</v>
      </c>
      <c r="M30" s="23">
        <f>'Sm Comm Cust Fcst'!F31</f>
        <v>0</v>
      </c>
      <c r="N30" s="23">
        <f>'Sm Comm Cust Fcst'!G31</f>
        <v>0</v>
      </c>
      <c r="O30" s="23">
        <f>'Sm Comm Cust Fcst'!M31</f>
        <v>0</v>
      </c>
      <c r="P30" s="23">
        <f>'Sm Comm Cust Fcst'!T31</f>
        <v>0</v>
      </c>
      <c r="Q30" s="23">
        <f>'Sm Comm Cust Fcst'!AA31</f>
        <v>0</v>
      </c>
      <c r="R30" s="41">
        <f t="shared" si="1"/>
        <v>0</v>
      </c>
      <c r="S30" s="23">
        <f>'Sch AL-TOU Cust Fcst'!F29</f>
        <v>0</v>
      </c>
      <c r="T30" s="23">
        <f>'Sch AL-TOU Cust Fcst'!G29</f>
        <v>0</v>
      </c>
      <c r="U30" s="23">
        <f>'Sch AL-TOU Cust Fcst'!H29</f>
        <v>0</v>
      </c>
      <c r="V30" s="23">
        <f>'Sch DG-R Cust Fcst'!F29</f>
        <v>0</v>
      </c>
      <c r="W30" s="23">
        <f>'Sch DG-R Cust Fcst'!G29</f>
        <v>0</v>
      </c>
      <c r="X30" s="23">
        <f>'Sch A6-TOU Cust Fcst '!B29</f>
        <v>0</v>
      </c>
      <c r="Y30" s="23">
        <f>'Sch A6-TOU Cust Fcst '!C29</f>
        <v>0</v>
      </c>
      <c r="Z30" s="23">
        <f>'Sch OL-TOU Cust Fcst'!F29</f>
        <v>0</v>
      </c>
      <c r="AA30" s="41">
        <f t="shared" si="2"/>
        <v>0</v>
      </c>
      <c r="AB30" s="23"/>
      <c r="AC30" s="23"/>
      <c r="AD30" s="23">
        <f>'Sch TOU-PA Cust Fcst'!F29</f>
        <v>0</v>
      </c>
      <c r="AE30" s="23">
        <f>'Sch TOU-PA Cust Fcst'!G29</f>
        <v>0</v>
      </c>
      <c r="AF30" s="41">
        <f t="shared" si="3"/>
        <v>0</v>
      </c>
      <c r="AG30" s="109"/>
      <c r="AH30" s="109">
        <f t="shared" si="4"/>
        <v>0</v>
      </c>
      <c r="AI30" s="23">
        <f t="shared" si="5"/>
        <v>0</v>
      </c>
      <c r="AJ30" s="23">
        <f t="shared" si="6"/>
        <v>0</v>
      </c>
      <c r="AK30" s="136"/>
      <c r="AL30" s="136">
        <f t="shared" si="7"/>
        <v>0</v>
      </c>
    </row>
    <row r="31" spans="1:38">
      <c r="A31" s="22" t="s">
        <v>23</v>
      </c>
      <c r="B31" s="109">
        <f>'Resid Cust Fcst '!H32</f>
        <v>0</v>
      </c>
      <c r="C31" s="23">
        <f>'Resid Cust Fcst '!O32</f>
        <v>0</v>
      </c>
      <c r="D31" s="23">
        <f>'Resid Cust Fcst '!V32</f>
        <v>0</v>
      </c>
      <c r="E31" s="23">
        <f>'Resid Cust Fcst '!AC32</f>
        <v>0</v>
      </c>
      <c r="F31" s="23">
        <f>'Resid Cust Fcst '!AJ32</f>
        <v>0</v>
      </c>
      <c r="G31" s="23">
        <f>'Resid Cust Fcst '!AQ32</f>
        <v>0</v>
      </c>
      <c r="H31" s="23">
        <f>'Resid Cust Fcst '!AX32</f>
        <v>0</v>
      </c>
      <c r="I31" s="23">
        <f>'Resid Cust Fcst '!BE32</f>
        <v>0</v>
      </c>
      <c r="J31" s="23">
        <f>'Resid Cust Fcst '!BL32</f>
        <v>0</v>
      </c>
      <c r="K31" s="23">
        <f>'Resid Cust Fcst '!BS32</f>
        <v>0</v>
      </c>
      <c r="L31" s="41">
        <f t="shared" si="0"/>
        <v>0</v>
      </c>
      <c r="M31" s="23">
        <f>'Sm Comm Cust Fcst'!F32</f>
        <v>0</v>
      </c>
      <c r="N31" s="23">
        <f>'Sm Comm Cust Fcst'!G32</f>
        <v>0</v>
      </c>
      <c r="O31" s="23">
        <f>'Sm Comm Cust Fcst'!M32</f>
        <v>0</v>
      </c>
      <c r="P31" s="23">
        <f>'Sm Comm Cust Fcst'!T32</f>
        <v>0</v>
      </c>
      <c r="Q31" s="23">
        <f>'Sm Comm Cust Fcst'!AA32</f>
        <v>0</v>
      </c>
      <c r="R31" s="41">
        <f t="shared" si="1"/>
        <v>0</v>
      </c>
      <c r="S31" s="23">
        <f>'Sch AL-TOU Cust Fcst'!F30</f>
        <v>0</v>
      </c>
      <c r="T31" s="23">
        <f>'Sch AL-TOU Cust Fcst'!G30</f>
        <v>0</v>
      </c>
      <c r="U31" s="23">
        <f>'Sch AL-TOU Cust Fcst'!H30</f>
        <v>0</v>
      </c>
      <c r="V31" s="23">
        <f>'Sch DG-R Cust Fcst'!F30</f>
        <v>0</v>
      </c>
      <c r="W31" s="23">
        <f>'Sch DG-R Cust Fcst'!G30</f>
        <v>0</v>
      </c>
      <c r="X31" s="23">
        <f>'Sch A6-TOU Cust Fcst '!B30</f>
        <v>0</v>
      </c>
      <c r="Y31" s="23">
        <f>'Sch A6-TOU Cust Fcst '!C30</f>
        <v>0</v>
      </c>
      <c r="Z31" s="23">
        <f>'Sch OL-TOU Cust Fcst'!F30</f>
        <v>0</v>
      </c>
      <c r="AA31" s="41">
        <f t="shared" si="2"/>
        <v>0</v>
      </c>
      <c r="AB31" s="23"/>
      <c r="AC31" s="23"/>
      <c r="AD31" s="23">
        <f>'Sch TOU-PA Cust Fcst'!F30</f>
        <v>0</v>
      </c>
      <c r="AE31" s="23">
        <f>'Sch TOU-PA Cust Fcst'!G30</f>
        <v>0</v>
      </c>
      <c r="AF31" s="41">
        <f t="shared" si="3"/>
        <v>0</v>
      </c>
      <c r="AG31" s="109"/>
      <c r="AH31" s="109">
        <f t="shared" si="4"/>
        <v>0</v>
      </c>
      <c r="AI31" s="23">
        <f t="shared" si="5"/>
        <v>0</v>
      </c>
      <c r="AJ31" s="23">
        <f t="shared" si="6"/>
        <v>0</v>
      </c>
      <c r="AK31" s="136"/>
      <c r="AL31" s="136">
        <f t="shared" si="7"/>
        <v>0</v>
      </c>
    </row>
    <row r="32" spans="1:38">
      <c r="A32" s="22" t="s">
        <v>24</v>
      </c>
      <c r="B32" s="109">
        <f>'Resid Cust Fcst '!H33</f>
        <v>0</v>
      </c>
      <c r="C32" s="23">
        <f>'Resid Cust Fcst '!O33</f>
        <v>0</v>
      </c>
      <c r="D32" s="23">
        <f>'Resid Cust Fcst '!V33</f>
        <v>0</v>
      </c>
      <c r="E32" s="23">
        <f>'Resid Cust Fcst '!AC33</f>
        <v>0</v>
      </c>
      <c r="F32" s="23">
        <f>'Resid Cust Fcst '!AJ33</f>
        <v>0</v>
      </c>
      <c r="G32" s="23">
        <f>'Resid Cust Fcst '!AQ33</f>
        <v>0</v>
      </c>
      <c r="H32" s="23">
        <f>'Resid Cust Fcst '!AX33</f>
        <v>0</v>
      </c>
      <c r="I32" s="23">
        <f>'Resid Cust Fcst '!BE33</f>
        <v>0</v>
      </c>
      <c r="J32" s="23">
        <f>'Resid Cust Fcst '!BL33</f>
        <v>0</v>
      </c>
      <c r="K32" s="23">
        <f>'Resid Cust Fcst '!BS33</f>
        <v>0</v>
      </c>
      <c r="L32" s="41">
        <f t="shared" si="0"/>
        <v>0</v>
      </c>
      <c r="M32" s="23">
        <f>'Sm Comm Cust Fcst'!F33</f>
        <v>0</v>
      </c>
      <c r="N32" s="23">
        <f>'Sm Comm Cust Fcst'!G33</f>
        <v>0</v>
      </c>
      <c r="O32" s="23">
        <f>'Sm Comm Cust Fcst'!M33</f>
        <v>0</v>
      </c>
      <c r="P32" s="23">
        <f>'Sm Comm Cust Fcst'!T33</f>
        <v>0</v>
      </c>
      <c r="Q32" s="23">
        <f>'Sm Comm Cust Fcst'!AA33</f>
        <v>0</v>
      </c>
      <c r="R32" s="41">
        <f t="shared" si="1"/>
        <v>0</v>
      </c>
      <c r="S32" s="23">
        <f>'Sch AL-TOU Cust Fcst'!F31</f>
        <v>0</v>
      </c>
      <c r="T32" s="23">
        <f>'Sch AL-TOU Cust Fcst'!G31</f>
        <v>0</v>
      </c>
      <c r="U32" s="23">
        <f>'Sch AL-TOU Cust Fcst'!H31</f>
        <v>0</v>
      </c>
      <c r="V32" s="23">
        <f>'Sch DG-R Cust Fcst'!F31</f>
        <v>0</v>
      </c>
      <c r="W32" s="23">
        <f>'Sch DG-R Cust Fcst'!G31</f>
        <v>0</v>
      </c>
      <c r="X32" s="23">
        <f>'Sch A6-TOU Cust Fcst '!B31</f>
        <v>0</v>
      </c>
      <c r="Y32" s="23">
        <f>'Sch A6-TOU Cust Fcst '!C31</f>
        <v>0</v>
      </c>
      <c r="Z32" s="23">
        <f>'Sch OL-TOU Cust Fcst'!F31</f>
        <v>0</v>
      </c>
      <c r="AA32" s="41">
        <f t="shared" si="2"/>
        <v>0</v>
      </c>
      <c r="AB32" s="23"/>
      <c r="AC32" s="23"/>
      <c r="AD32" s="23">
        <f>'Sch TOU-PA Cust Fcst'!F31</f>
        <v>0</v>
      </c>
      <c r="AE32" s="23">
        <f>'Sch TOU-PA Cust Fcst'!G31</f>
        <v>0</v>
      </c>
      <c r="AF32" s="41">
        <f t="shared" si="3"/>
        <v>0</v>
      </c>
      <c r="AG32" s="109"/>
      <c r="AH32" s="109">
        <f t="shared" si="4"/>
        <v>0</v>
      </c>
      <c r="AI32" s="23">
        <f t="shared" si="5"/>
        <v>0</v>
      </c>
      <c r="AJ32" s="23">
        <f t="shared" si="6"/>
        <v>0</v>
      </c>
      <c r="AK32" s="136"/>
      <c r="AL32" s="136">
        <f t="shared" si="7"/>
        <v>0</v>
      </c>
    </row>
    <row r="33" spans="1:38">
      <c r="A33" s="21" t="s">
        <v>25</v>
      </c>
      <c r="B33" s="109">
        <f>'Resid Cust Fcst '!H34</f>
        <v>0</v>
      </c>
      <c r="C33" s="23">
        <f>'Resid Cust Fcst '!O34</f>
        <v>0</v>
      </c>
      <c r="D33" s="23">
        <f>'Resid Cust Fcst '!V34</f>
        <v>0</v>
      </c>
      <c r="E33" s="23">
        <f>'Resid Cust Fcst '!AC34</f>
        <v>0</v>
      </c>
      <c r="F33" s="23">
        <f>'Resid Cust Fcst '!AJ34</f>
        <v>0</v>
      </c>
      <c r="G33" s="23">
        <f>'Resid Cust Fcst '!AQ34</f>
        <v>0</v>
      </c>
      <c r="H33" s="23">
        <f>'Resid Cust Fcst '!AX34</f>
        <v>0</v>
      </c>
      <c r="I33" s="23">
        <f>'Resid Cust Fcst '!BE34</f>
        <v>0</v>
      </c>
      <c r="J33" s="23">
        <f>'Resid Cust Fcst '!BL34</f>
        <v>0</v>
      </c>
      <c r="K33" s="23">
        <f>'Resid Cust Fcst '!BS34</f>
        <v>0</v>
      </c>
      <c r="L33" s="41">
        <f t="shared" si="0"/>
        <v>0</v>
      </c>
      <c r="M33" s="23">
        <f>'Sm Comm Cust Fcst'!F34</f>
        <v>0</v>
      </c>
      <c r="N33" s="23">
        <f>'Sm Comm Cust Fcst'!G34</f>
        <v>0</v>
      </c>
      <c r="O33" s="23">
        <f>'Sm Comm Cust Fcst'!M34</f>
        <v>0</v>
      </c>
      <c r="P33" s="23">
        <f>'Sm Comm Cust Fcst'!T34</f>
        <v>0</v>
      </c>
      <c r="Q33" s="23">
        <f>'Sm Comm Cust Fcst'!AA34</f>
        <v>0</v>
      </c>
      <c r="R33" s="41">
        <f t="shared" si="1"/>
        <v>0</v>
      </c>
      <c r="S33" s="23">
        <f>'Sch AL-TOU Cust Fcst'!F32</f>
        <v>0</v>
      </c>
      <c r="T33" s="23">
        <f>'Sch AL-TOU Cust Fcst'!G32</f>
        <v>0</v>
      </c>
      <c r="U33" s="23">
        <f>'Sch AL-TOU Cust Fcst'!H32</f>
        <v>0</v>
      </c>
      <c r="V33" s="23">
        <f>'Sch DG-R Cust Fcst'!F32</f>
        <v>0</v>
      </c>
      <c r="W33" s="23">
        <f>'Sch DG-R Cust Fcst'!G32</f>
        <v>0</v>
      </c>
      <c r="X33" s="23">
        <f>'Sch A6-TOU Cust Fcst '!B32</f>
        <v>0</v>
      </c>
      <c r="Y33" s="23">
        <f>'Sch A6-TOU Cust Fcst '!C32</f>
        <v>0</v>
      </c>
      <c r="Z33" s="23">
        <f>'Sch OL-TOU Cust Fcst'!F32</f>
        <v>0</v>
      </c>
      <c r="AA33" s="41">
        <f t="shared" si="2"/>
        <v>0</v>
      </c>
      <c r="AB33" s="23"/>
      <c r="AC33" s="23"/>
      <c r="AD33" s="23">
        <f>'Sch TOU-PA Cust Fcst'!F32</f>
        <v>0</v>
      </c>
      <c r="AE33" s="23">
        <f>'Sch TOU-PA Cust Fcst'!G32</f>
        <v>0</v>
      </c>
      <c r="AF33" s="41">
        <f t="shared" si="3"/>
        <v>0</v>
      </c>
      <c r="AG33" s="109"/>
      <c r="AH33" s="109">
        <f t="shared" si="4"/>
        <v>0</v>
      </c>
      <c r="AI33" s="23">
        <f t="shared" si="5"/>
        <v>0</v>
      </c>
      <c r="AJ33" s="23">
        <f t="shared" si="6"/>
        <v>0</v>
      </c>
      <c r="AK33" s="136"/>
      <c r="AL33" s="136">
        <f t="shared" si="7"/>
        <v>0</v>
      </c>
    </row>
    <row r="34" spans="1:38">
      <c r="A34" s="21" t="s">
        <v>111</v>
      </c>
      <c r="B34" s="109">
        <f>'Resid Cust Fcst '!H35</f>
        <v>0</v>
      </c>
      <c r="C34" s="23">
        <f>'Resid Cust Fcst '!O35</f>
        <v>0</v>
      </c>
      <c r="D34" s="23">
        <f>'Resid Cust Fcst '!V35</f>
        <v>0</v>
      </c>
      <c r="E34" s="23">
        <f>'Resid Cust Fcst '!AC35</f>
        <v>0</v>
      </c>
      <c r="F34" s="23">
        <f>'Resid Cust Fcst '!AJ35</f>
        <v>0</v>
      </c>
      <c r="G34" s="23">
        <f>'Resid Cust Fcst '!AQ35</f>
        <v>0</v>
      </c>
      <c r="H34" s="23">
        <f>'Resid Cust Fcst '!AX35</f>
        <v>0</v>
      </c>
      <c r="I34" s="23">
        <f>'Resid Cust Fcst '!BE35</f>
        <v>0</v>
      </c>
      <c r="J34" s="23">
        <f>'Resid Cust Fcst '!BL35</f>
        <v>0</v>
      </c>
      <c r="K34" s="23">
        <f>'Resid Cust Fcst '!BS35</f>
        <v>0</v>
      </c>
      <c r="L34" s="41">
        <f t="shared" si="0"/>
        <v>0</v>
      </c>
      <c r="M34" s="23">
        <f>'Sm Comm Cust Fcst'!F35</f>
        <v>0</v>
      </c>
      <c r="N34" s="23">
        <f>'Sm Comm Cust Fcst'!G35</f>
        <v>0</v>
      </c>
      <c r="O34" s="23">
        <f>'Sm Comm Cust Fcst'!M35</f>
        <v>0</v>
      </c>
      <c r="P34" s="23">
        <f>'Sm Comm Cust Fcst'!T35</f>
        <v>0</v>
      </c>
      <c r="Q34" s="23">
        <f>'Sm Comm Cust Fcst'!AA35</f>
        <v>0</v>
      </c>
      <c r="R34" s="41">
        <f t="shared" si="1"/>
        <v>0</v>
      </c>
      <c r="S34" s="23">
        <f>'Sch AL-TOU Cust Fcst'!F33</f>
        <v>0</v>
      </c>
      <c r="T34" s="23">
        <f>'Sch AL-TOU Cust Fcst'!G33</f>
        <v>0</v>
      </c>
      <c r="U34" s="23">
        <f>'Sch AL-TOU Cust Fcst'!H33</f>
        <v>0</v>
      </c>
      <c r="V34" s="23">
        <f>'Sch DG-R Cust Fcst'!F33</f>
        <v>0</v>
      </c>
      <c r="W34" s="23">
        <f>'Sch DG-R Cust Fcst'!G33</f>
        <v>0</v>
      </c>
      <c r="X34" s="23">
        <f>'Sch A6-TOU Cust Fcst '!B33</f>
        <v>0</v>
      </c>
      <c r="Y34" s="23">
        <f>'Sch A6-TOU Cust Fcst '!C33</f>
        <v>0</v>
      </c>
      <c r="Z34" s="23">
        <f>'Sch OL-TOU Cust Fcst'!F33</f>
        <v>0</v>
      </c>
      <c r="AA34" s="41">
        <f t="shared" si="2"/>
        <v>0</v>
      </c>
      <c r="AB34" s="23"/>
      <c r="AC34" s="23"/>
      <c r="AD34" s="23">
        <f>'Sch TOU-PA Cust Fcst'!F33</f>
        <v>0</v>
      </c>
      <c r="AE34" s="23">
        <f>'Sch TOU-PA Cust Fcst'!G33</f>
        <v>0</v>
      </c>
      <c r="AF34" s="41">
        <f t="shared" si="3"/>
        <v>0</v>
      </c>
      <c r="AG34" s="109"/>
      <c r="AH34" s="109">
        <f t="shared" si="4"/>
        <v>0</v>
      </c>
      <c r="AI34" s="23">
        <f t="shared" si="5"/>
        <v>0</v>
      </c>
      <c r="AJ34" s="23">
        <f t="shared" si="6"/>
        <v>0</v>
      </c>
      <c r="AK34" s="136"/>
      <c r="AL34" s="136">
        <f t="shared" si="7"/>
        <v>0</v>
      </c>
    </row>
    <row r="35" spans="1:38">
      <c r="A35" s="21" t="s">
        <v>112</v>
      </c>
      <c r="B35" s="109">
        <f>'Resid Cust Fcst '!H36</f>
        <v>0</v>
      </c>
      <c r="C35" s="23">
        <f>'Resid Cust Fcst '!O36</f>
        <v>0</v>
      </c>
      <c r="D35" s="23">
        <f>'Resid Cust Fcst '!V36</f>
        <v>0</v>
      </c>
      <c r="E35" s="23">
        <f>'Resid Cust Fcst '!AC36</f>
        <v>0</v>
      </c>
      <c r="F35" s="23">
        <f>'Resid Cust Fcst '!AJ36</f>
        <v>0</v>
      </c>
      <c r="G35" s="23">
        <f>'Resid Cust Fcst '!AQ36</f>
        <v>0</v>
      </c>
      <c r="H35" s="23">
        <f>'Resid Cust Fcst '!AX36</f>
        <v>0</v>
      </c>
      <c r="I35" s="23">
        <f>'Resid Cust Fcst '!BE36</f>
        <v>0</v>
      </c>
      <c r="J35" s="23">
        <f>'Resid Cust Fcst '!BL36</f>
        <v>0</v>
      </c>
      <c r="K35" s="23">
        <f>'Resid Cust Fcst '!BS36</f>
        <v>0</v>
      </c>
      <c r="L35" s="41">
        <f t="shared" si="0"/>
        <v>0</v>
      </c>
      <c r="M35" s="23">
        <f>'Sm Comm Cust Fcst'!F36</f>
        <v>0</v>
      </c>
      <c r="N35" s="23">
        <f>'Sm Comm Cust Fcst'!G36</f>
        <v>0</v>
      </c>
      <c r="O35" s="23">
        <f>'Sm Comm Cust Fcst'!M36</f>
        <v>0</v>
      </c>
      <c r="P35" s="23">
        <f>'Sm Comm Cust Fcst'!T36</f>
        <v>0</v>
      </c>
      <c r="Q35" s="23">
        <f>'Sm Comm Cust Fcst'!AA36</f>
        <v>0</v>
      </c>
      <c r="R35" s="41">
        <f t="shared" si="1"/>
        <v>0</v>
      </c>
      <c r="S35" s="23">
        <f>'Sch AL-TOU Cust Fcst'!F34</f>
        <v>0</v>
      </c>
      <c r="T35" s="23">
        <f>'Sch AL-TOU Cust Fcst'!G34</f>
        <v>0</v>
      </c>
      <c r="U35" s="23">
        <f>'Sch AL-TOU Cust Fcst'!H34</f>
        <v>0</v>
      </c>
      <c r="V35" s="23">
        <f>'Sch DG-R Cust Fcst'!F34</f>
        <v>0</v>
      </c>
      <c r="W35" s="23">
        <f>'Sch DG-R Cust Fcst'!G34</f>
        <v>0</v>
      </c>
      <c r="X35" s="23">
        <f>'Sch A6-TOU Cust Fcst '!B34</f>
        <v>0</v>
      </c>
      <c r="Y35" s="23">
        <f>'Sch A6-TOU Cust Fcst '!C34</f>
        <v>0</v>
      </c>
      <c r="Z35" s="23">
        <f>'Sch OL-TOU Cust Fcst'!F34</f>
        <v>0</v>
      </c>
      <c r="AA35" s="41">
        <f t="shared" si="2"/>
        <v>0</v>
      </c>
      <c r="AB35" s="23"/>
      <c r="AC35" s="23"/>
      <c r="AD35" s="23">
        <f>'Sch TOU-PA Cust Fcst'!F34</f>
        <v>0</v>
      </c>
      <c r="AE35" s="23">
        <f>'Sch TOU-PA Cust Fcst'!G34</f>
        <v>0</v>
      </c>
      <c r="AF35" s="41">
        <f t="shared" si="3"/>
        <v>0</v>
      </c>
      <c r="AG35" s="109"/>
      <c r="AH35" s="109">
        <f t="shared" si="4"/>
        <v>0</v>
      </c>
      <c r="AI35" s="23">
        <f t="shared" si="5"/>
        <v>0</v>
      </c>
      <c r="AJ35" s="23">
        <f t="shared" si="6"/>
        <v>0</v>
      </c>
      <c r="AK35" s="136"/>
      <c r="AL35" s="136">
        <f t="shared" si="7"/>
        <v>0</v>
      </c>
    </row>
    <row r="36" spans="1:38">
      <c r="A36" s="21" t="s">
        <v>26</v>
      </c>
      <c r="B36" s="109">
        <f>'Resid Cust Fcst '!H37</f>
        <v>0</v>
      </c>
      <c r="C36" s="23">
        <f>'Resid Cust Fcst '!O37</f>
        <v>0</v>
      </c>
      <c r="D36" s="23">
        <f>'Resid Cust Fcst '!V37</f>
        <v>0</v>
      </c>
      <c r="E36" s="23">
        <f>'Resid Cust Fcst '!AC37</f>
        <v>0</v>
      </c>
      <c r="F36" s="23">
        <f>'Resid Cust Fcst '!AJ37</f>
        <v>0</v>
      </c>
      <c r="G36" s="23">
        <f>'Resid Cust Fcst '!AQ37</f>
        <v>0</v>
      </c>
      <c r="H36" s="23">
        <f>'Resid Cust Fcst '!AX37</f>
        <v>0</v>
      </c>
      <c r="I36" s="23">
        <f>'Resid Cust Fcst '!BE37</f>
        <v>0</v>
      </c>
      <c r="J36" s="23">
        <f>'Resid Cust Fcst '!BL37</f>
        <v>0</v>
      </c>
      <c r="K36" s="23">
        <f>'Resid Cust Fcst '!BS37</f>
        <v>0</v>
      </c>
      <c r="L36" s="41">
        <f t="shared" si="0"/>
        <v>0</v>
      </c>
      <c r="M36" s="23">
        <f>'Sm Comm Cust Fcst'!F37</f>
        <v>0</v>
      </c>
      <c r="N36" s="23">
        <f>'Sm Comm Cust Fcst'!G37</f>
        <v>0</v>
      </c>
      <c r="O36" s="23">
        <f>'Sm Comm Cust Fcst'!M37</f>
        <v>0</v>
      </c>
      <c r="P36" s="23">
        <f>'Sm Comm Cust Fcst'!T37</f>
        <v>0</v>
      </c>
      <c r="Q36" s="23">
        <f>'Sm Comm Cust Fcst'!AA37</f>
        <v>0</v>
      </c>
      <c r="R36" s="41">
        <f t="shared" si="1"/>
        <v>0</v>
      </c>
      <c r="S36" s="23">
        <f>'Sch AL-TOU Cust Fcst'!F35</f>
        <v>0</v>
      </c>
      <c r="T36" s="23">
        <f>'Sch AL-TOU Cust Fcst'!G35</f>
        <v>0</v>
      </c>
      <c r="U36" s="23">
        <f>'Sch AL-TOU Cust Fcst'!H35</f>
        <v>0</v>
      </c>
      <c r="V36" s="23">
        <f>'Sch DG-R Cust Fcst'!F35</f>
        <v>0</v>
      </c>
      <c r="W36" s="23">
        <f>'Sch DG-R Cust Fcst'!G35</f>
        <v>0</v>
      </c>
      <c r="X36" s="23">
        <f>'Sch A6-TOU Cust Fcst '!B35</f>
        <v>0</v>
      </c>
      <c r="Y36" s="23">
        <f>'Sch A6-TOU Cust Fcst '!C35</f>
        <v>0</v>
      </c>
      <c r="Z36" s="23">
        <f>'Sch OL-TOU Cust Fcst'!F35</f>
        <v>0</v>
      </c>
      <c r="AA36" s="41">
        <f t="shared" si="2"/>
        <v>0</v>
      </c>
      <c r="AB36" s="23"/>
      <c r="AC36" s="23"/>
      <c r="AD36" s="23">
        <f>'Sch TOU-PA Cust Fcst'!F35</f>
        <v>0</v>
      </c>
      <c r="AE36" s="23">
        <f>'Sch TOU-PA Cust Fcst'!G35</f>
        <v>0</v>
      </c>
      <c r="AF36" s="41">
        <f t="shared" si="3"/>
        <v>0</v>
      </c>
      <c r="AG36" s="109"/>
      <c r="AH36" s="109">
        <f t="shared" si="4"/>
        <v>0</v>
      </c>
      <c r="AI36" s="23">
        <f t="shared" si="5"/>
        <v>0</v>
      </c>
      <c r="AJ36" s="23">
        <f t="shared" si="6"/>
        <v>0</v>
      </c>
      <c r="AK36" s="136"/>
      <c r="AL36" s="136">
        <f t="shared" si="7"/>
        <v>0</v>
      </c>
    </row>
    <row r="37" spans="1:38">
      <c r="A37" s="21" t="s">
        <v>27</v>
      </c>
      <c r="B37" s="109">
        <f>'Resid Cust Fcst '!H38</f>
        <v>0</v>
      </c>
      <c r="C37" s="23">
        <f>'Resid Cust Fcst '!O38</f>
        <v>0</v>
      </c>
      <c r="D37" s="23">
        <f>'Resid Cust Fcst '!V38</f>
        <v>0</v>
      </c>
      <c r="E37" s="23">
        <f>'Resid Cust Fcst '!AC38</f>
        <v>0</v>
      </c>
      <c r="F37" s="23">
        <f>'Resid Cust Fcst '!AJ38</f>
        <v>0</v>
      </c>
      <c r="G37" s="23">
        <f>'Resid Cust Fcst '!AQ38</f>
        <v>0</v>
      </c>
      <c r="H37" s="23">
        <f>'Resid Cust Fcst '!AX38</f>
        <v>0</v>
      </c>
      <c r="I37" s="23">
        <f>'Resid Cust Fcst '!BE38</f>
        <v>0</v>
      </c>
      <c r="J37" s="23">
        <f>'Resid Cust Fcst '!BL38</f>
        <v>0</v>
      </c>
      <c r="K37" s="23">
        <f>'Resid Cust Fcst '!BS38</f>
        <v>0</v>
      </c>
      <c r="L37" s="41">
        <f t="shared" si="0"/>
        <v>0</v>
      </c>
      <c r="M37" s="23">
        <f>'Sm Comm Cust Fcst'!F38</f>
        <v>0</v>
      </c>
      <c r="N37" s="23">
        <f>'Sm Comm Cust Fcst'!G38</f>
        <v>0</v>
      </c>
      <c r="O37" s="23">
        <f>'Sm Comm Cust Fcst'!M38</f>
        <v>0</v>
      </c>
      <c r="P37" s="23">
        <f>'Sm Comm Cust Fcst'!T38</f>
        <v>0</v>
      </c>
      <c r="Q37" s="23">
        <f>'Sm Comm Cust Fcst'!AA38</f>
        <v>0</v>
      </c>
      <c r="R37" s="41">
        <f t="shared" si="1"/>
        <v>0</v>
      </c>
      <c r="S37" s="23">
        <f>'Sch AL-TOU Cust Fcst'!F36</f>
        <v>0</v>
      </c>
      <c r="T37" s="23">
        <f>'Sch AL-TOU Cust Fcst'!G36</f>
        <v>0</v>
      </c>
      <c r="U37" s="23">
        <f>'Sch AL-TOU Cust Fcst'!H36</f>
        <v>0</v>
      </c>
      <c r="V37" s="23">
        <f>'Sch DG-R Cust Fcst'!F36</f>
        <v>0</v>
      </c>
      <c r="W37" s="23">
        <f>'Sch DG-R Cust Fcst'!G36</f>
        <v>0</v>
      </c>
      <c r="X37" s="23">
        <f>'Sch A6-TOU Cust Fcst '!B36</f>
        <v>0</v>
      </c>
      <c r="Y37" s="23">
        <f>'Sch A6-TOU Cust Fcst '!C36</f>
        <v>0</v>
      </c>
      <c r="Z37" s="23">
        <f>'Sch OL-TOU Cust Fcst'!F36</f>
        <v>0</v>
      </c>
      <c r="AA37" s="41">
        <f t="shared" si="2"/>
        <v>0</v>
      </c>
      <c r="AB37" s="23"/>
      <c r="AC37" s="23"/>
      <c r="AD37" s="23">
        <f>'Sch TOU-PA Cust Fcst'!F36</f>
        <v>0</v>
      </c>
      <c r="AE37" s="23">
        <f>'Sch TOU-PA Cust Fcst'!G36</f>
        <v>0</v>
      </c>
      <c r="AF37" s="41">
        <f t="shared" si="3"/>
        <v>0</v>
      </c>
      <c r="AG37" s="109"/>
      <c r="AH37" s="109">
        <f t="shared" si="4"/>
        <v>0</v>
      </c>
      <c r="AI37" s="23">
        <f t="shared" si="5"/>
        <v>0</v>
      </c>
      <c r="AJ37" s="23">
        <f t="shared" si="6"/>
        <v>0</v>
      </c>
      <c r="AK37" s="136"/>
      <c r="AL37" s="136">
        <f t="shared" si="7"/>
        <v>0</v>
      </c>
    </row>
    <row r="38" spans="1:38">
      <c r="A38" s="11"/>
      <c r="B38" s="11"/>
      <c r="C38" s="12"/>
      <c r="D38" s="12"/>
      <c r="E38" s="12"/>
      <c r="F38" s="12"/>
      <c r="G38" s="12"/>
      <c r="H38" s="12"/>
      <c r="I38" s="12"/>
      <c r="J38" s="12"/>
      <c r="K38" s="12"/>
      <c r="L38" s="76"/>
      <c r="M38" s="12"/>
      <c r="N38" s="12"/>
      <c r="O38" s="12"/>
      <c r="P38" s="12"/>
      <c r="Q38" s="12"/>
      <c r="R38" s="76"/>
      <c r="S38" s="12"/>
      <c r="T38" s="13"/>
      <c r="U38" s="13"/>
      <c r="V38" s="12"/>
      <c r="W38" s="13"/>
      <c r="X38" s="13"/>
      <c r="Y38" s="13"/>
      <c r="Z38" s="23">
        <f>'Sch OL-TOU Cust Fcst'!F37</f>
        <v>0</v>
      </c>
      <c r="AA38" s="14"/>
      <c r="AB38" s="13"/>
      <c r="AC38" s="13"/>
      <c r="AD38" s="13"/>
      <c r="AE38" s="13"/>
      <c r="AF38" s="41">
        <f t="shared" si="3"/>
        <v>0</v>
      </c>
      <c r="AG38" s="107"/>
      <c r="AH38" s="107"/>
      <c r="AI38" s="13"/>
      <c r="AJ38" s="23"/>
      <c r="AK38" s="156"/>
      <c r="AL38" s="156"/>
    </row>
    <row r="39" spans="1:38">
      <c r="A39" s="21" t="s">
        <v>2</v>
      </c>
      <c r="B39" s="174">
        <f t="shared" ref="B39:AK39" si="8">SUM(B7:B38)</f>
        <v>1</v>
      </c>
      <c r="C39" s="42">
        <f t="shared" si="8"/>
        <v>0</v>
      </c>
      <c r="D39" s="42">
        <f t="shared" si="8"/>
        <v>0</v>
      </c>
      <c r="E39" s="42">
        <f t="shared" si="8"/>
        <v>0</v>
      </c>
      <c r="F39" s="42">
        <f t="shared" si="8"/>
        <v>0</v>
      </c>
      <c r="G39" s="42">
        <f t="shared" si="8"/>
        <v>0</v>
      </c>
      <c r="H39" s="42">
        <f t="shared" si="8"/>
        <v>0</v>
      </c>
      <c r="I39" s="42">
        <f t="shared" si="8"/>
        <v>0</v>
      </c>
      <c r="J39" s="42">
        <f t="shared" si="8"/>
        <v>0</v>
      </c>
      <c r="K39" s="42">
        <f t="shared" si="8"/>
        <v>0</v>
      </c>
      <c r="L39" s="175">
        <f t="shared" si="8"/>
        <v>1</v>
      </c>
      <c r="M39" s="42">
        <f t="shared" si="8"/>
        <v>642</v>
      </c>
      <c r="N39" s="42">
        <f t="shared" si="8"/>
        <v>0</v>
      </c>
      <c r="O39" s="42">
        <f t="shared" si="8"/>
        <v>0</v>
      </c>
      <c r="P39" s="42">
        <f t="shared" si="8"/>
        <v>2</v>
      </c>
      <c r="Q39" s="42">
        <f t="shared" si="8"/>
        <v>0</v>
      </c>
      <c r="R39" s="175">
        <f t="shared" si="8"/>
        <v>644</v>
      </c>
      <c r="S39" s="42">
        <f t="shared" si="8"/>
        <v>804</v>
      </c>
      <c r="T39" s="42">
        <f t="shared" si="8"/>
        <v>45</v>
      </c>
      <c r="U39" s="42">
        <f t="shared" si="8"/>
        <v>0</v>
      </c>
      <c r="V39" s="42">
        <f t="shared" si="8"/>
        <v>102</v>
      </c>
      <c r="W39" s="42">
        <f t="shared" si="8"/>
        <v>13</v>
      </c>
      <c r="X39" s="42">
        <f t="shared" si="8"/>
        <v>1</v>
      </c>
      <c r="Y39" s="42">
        <f t="shared" si="8"/>
        <v>0</v>
      </c>
      <c r="Z39" s="23">
        <f>'Sch OL-TOU Cust Fcst'!F38</f>
        <v>3</v>
      </c>
      <c r="AA39" s="175">
        <f t="shared" si="8"/>
        <v>968</v>
      </c>
      <c r="AB39" s="42"/>
      <c r="AC39" s="42"/>
      <c r="AD39" s="42">
        <f t="shared" si="8"/>
        <v>3</v>
      </c>
      <c r="AE39" s="42">
        <f t="shared" si="8"/>
        <v>0</v>
      </c>
      <c r="AF39" s="41">
        <f t="shared" si="3"/>
        <v>3</v>
      </c>
      <c r="AG39" s="42">
        <f t="shared" si="8"/>
        <v>103</v>
      </c>
      <c r="AH39" s="174">
        <f t="shared" si="8"/>
        <v>1557</v>
      </c>
      <c r="AI39" s="42">
        <f t="shared" si="8"/>
        <v>59</v>
      </c>
      <c r="AJ39" s="42">
        <f t="shared" si="8"/>
        <v>1616</v>
      </c>
      <c r="AK39" s="615">
        <f t="shared" si="8"/>
        <v>103</v>
      </c>
      <c r="AL39" s="153">
        <f>SUM(AL7:AL38)</f>
        <v>1719</v>
      </c>
    </row>
    <row r="40" spans="1:38" ht="13.5" thickBot="1">
      <c r="A40" s="15"/>
      <c r="B40" s="15"/>
      <c r="C40" s="28"/>
      <c r="D40" s="28"/>
      <c r="E40" s="28"/>
      <c r="F40" s="28"/>
      <c r="G40" s="28"/>
      <c r="H40" s="28"/>
      <c r="I40" s="28"/>
      <c r="J40" s="28"/>
      <c r="K40" s="28"/>
      <c r="L40" s="80"/>
      <c r="M40" s="28"/>
      <c r="N40" s="28"/>
      <c r="O40" s="28"/>
      <c r="P40" s="28"/>
      <c r="Q40" s="28"/>
      <c r="R40" s="80"/>
      <c r="S40" s="28"/>
      <c r="T40" s="16"/>
      <c r="U40" s="16"/>
      <c r="V40" s="28"/>
      <c r="W40" s="16"/>
      <c r="X40" s="16"/>
      <c r="Y40" s="16"/>
      <c r="Z40" s="16"/>
      <c r="AA40" s="17"/>
      <c r="AB40" s="16"/>
      <c r="AC40" s="16"/>
      <c r="AD40" s="16"/>
      <c r="AE40" s="16"/>
      <c r="AF40" s="17"/>
      <c r="AG40" s="110"/>
      <c r="AH40" s="110"/>
      <c r="AI40" s="16"/>
      <c r="AJ40" s="16"/>
      <c r="AK40" s="137"/>
      <c r="AL40" s="137"/>
    </row>
    <row r="41" spans="1:38">
      <c r="T41" s="18"/>
      <c r="U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</row>
    <row r="42" spans="1:38">
      <c r="A42" s="177"/>
      <c r="B42" s="12"/>
      <c r="C42" s="12"/>
      <c r="T42" s="18"/>
      <c r="U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</row>
    <row r="43" spans="1:38">
      <c r="A43" s="177"/>
      <c r="B43" s="299"/>
      <c r="C43" s="587"/>
      <c r="D43" s="344"/>
      <c r="E43" s="344"/>
      <c r="F43" s="344"/>
      <c r="G43" s="344"/>
      <c r="H43" s="344"/>
      <c r="I43" s="344"/>
      <c r="J43" s="344"/>
      <c r="K43" s="344"/>
      <c r="L43" s="345"/>
      <c r="M43" s="344"/>
      <c r="N43" s="344"/>
      <c r="O43" s="344"/>
      <c r="P43" s="344"/>
      <c r="Q43" s="344"/>
      <c r="R43" s="345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2"/>
      <c r="AE43" s="52"/>
      <c r="AF43" s="51"/>
      <c r="AG43" s="52"/>
      <c r="AH43" s="52"/>
      <c r="AI43" s="52"/>
      <c r="AJ43" s="52"/>
      <c r="AK43" s="52"/>
      <c r="AL43" s="51"/>
    </row>
    <row r="44" spans="1:38">
      <c r="A44" s="89"/>
      <c r="B44" s="437"/>
      <c r="C44" s="587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52"/>
      <c r="T44" s="51"/>
      <c r="U44" s="51"/>
      <c r="V44" s="52"/>
      <c r="W44" s="51"/>
      <c r="X44" s="51"/>
      <c r="Y44" s="51"/>
      <c r="Z44" s="52"/>
      <c r="AA44" s="51"/>
      <c r="AB44" s="51"/>
      <c r="AC44" s="51"/>
      <c r="AD44" s="52"/>
      <c r="AE44" s="52"/>
      <c r="AF44" s="52"/>
      <c r="AG44" s="52"/>
      <c r="AH44" s="52"/>
      <c r="AI44" s="52"/>
      <c r="AJ44" s="52"/>
      <c r="AK44" s="52"/>
      <c r="AL44" s="51"/>
    </row>
    <row r="45" spans="1:38">
      <c r="A45" s="346"/>
      <c r="B45" s="345"/>
      <c r="C45" s="345"/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345"/>
      <c r="R45" s="345"/>
      <c r="S45" s="51"/>
      <c r="T45" s="51"/>
      <c r="U45" s="51"/>
      <c r="V45" s="51"/>
      <c r="W45" s="51"/>
      <c r="X45" s="51"/>
      <c r="Y45" s="51"/>
      <c r="Z45" s="52"/>
      <c r="AA45" s="51"/>
      <c r="AB45" s="51"/>
      <c r="AC45" s="51"/>
      <c r="AD45" s="52"/>
      <c r="AE45" s="52"/>
      <c r="AF45" s="52"/>
      <c r="AG45" s="51"/>
      <c r="AH45" s="51"/>
      <c r="AI45" s="51"/>
      <c r="AJ45" s="51"/>
      <c r="AK45" s="51"/>
      <c r="AL45" s="51"/>
    </row>
    <row r="46" spans="1:38">
      <c r="A46" s="346"/>
      <c r="B46" s="345"/>
      <c r="C46" s="345"/>
      <c r="D46" s="345"/>
      <c r="E46" s="345"/>
      <c r="F46" s="345"/>
      <c r="G46" s="345"/>
      <c r="H46" s="345"/>
      <c r="I46" s="345"/>
      <c r="J46" s="345"/>
      <c r="K46" s="345"/>
      <c r="L46" s="345"/>
      <c r="M46" s="345"/>
      <c r="N46" s="345"/>
      <c r="O46" s="345"/>
      <c r="P46" s="345"/>
      <c r="Q46" s="345"/>
      <c r="R46" s="345"/>
      <c r="S46" s="51"/>
      <c r="T46" s="51"/>
      <c r="U46" s="51"/>
      <c r="V46" s="51"/>
      <c r="W46" s="51"/>
      <c r="X46" s="51"/>
      <c r="Y46" s="51"/>
      <c r="Z46" s="52"/>
      <c r="AA46" s="51"/>
      <c r="AB46" s="51"/>
      <c r="AC46" s="51"/>
      <c r="AD46" s="52"/>
      <c r="AE46" s="52"/>
      <c r="AF46" s="52"/>
      <c r="AG46" s="51"/>
      <c r="AH46" s="51"/>
      <c r="AI46" s="51"/>
      <c r="AJ46" s="51"/>
      <c r="AK46" s="51"/>
      <c r="AL46" s="51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346"/>
      <c r="B48" s="347"/>
      <c r="C48" s="347"/>
      <c r="D48" s="347"/>
      <c r="E48" s="347"/>
      <c r="F48" s="347"/>
      <c r="G48" s="347"/>
      <c r="H48" s="347"/>
      <c r="I48" s="347"/>
      <c r="J48" s="347"/>
      <c r="K48" s="347"/>
      <c r="L48" s="347"/>
      <c r="M48" s="344"/>
      <c r="N48" s="344"/>
      <c r="O48" s="347"/>
      <c r="P48" s="347"/>
      <c r="Q48" s="347"/>
      <c r="R48" s="347"/>
      <c r="S48" s="201"/>
      <c r="T48" s="52"/>
      <c r="U48" s="52"/>
      <c r="V48" s="201"/>
      <c r="W48" s="52"/>
      <c r="X48" s="201"/>
      <c r="Y48" s="52"/>
      <c r="Z48" s="201"/>
      <c r="AA48" s="201"/>
      <c r="AB48" s="201"/>
      <c r="AC48" s="201"/>
      <c r="AD48" s="52"/>
      <c r="AE48" s="52"/>
      <c r="AF48" s="52"/>
      <c r="AG48" s="201"/>
      <c r="AH48" s="201"/>
      <c r="AI48" s="201"/>
      <c r="AJ48" s="201"/>
      <c r="AK48" s="201"/>
      <c r="AL48" s="201"/>
    </row>
    <row r="53" spans="1:2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V53" s="19"/>
    </row>
    <row r="65" spans="1:22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V65" s="19"/>
    </row>
  </sheetData>
  <mergeCells count="10">
    <mergeCell ref="A1:AL1"/>
    <mergeCell ref="X3:Y3"/>
    <mergeCell ref="AD3:AE3"/>
    <mergeCell ref="M3:N3"/>
    <mergeCell ref="AH2:AL2"/>
    <mergeCell ref="AH3:AJ3"/>
    <mergeCell ref="B2:L2"/>
    <mergeCell ref="M2:R2"/>
    <mergeCell ref="S2:AA2"/>
    <mergeCell ref="AB2:AF2"/>
  </mergeCells>
  <phoneticPr fontId="0" type="noConversion"/>
  <printOptions horizontalCentered="1"/>
  <pageMargins left="0.75" right="0.75" top="1" bottom="1" header="0.5" footer="0.5"/>
  <pageSetup scale="42" orientation="portrait" r:id="rId1"/>
  <headerFooter alignWithMargins="0">
    <oddFooter>&amp;L&amp;F
&amp;A&amp;R&amp;P of &amp;N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B27EB-80BC-4C43-BD17-5B5737379B1C}">
  <sheetPr>
    <pageSetUpPr fitToPage="1"/>
  </sheetPr>
  <dimension ref="A1:AF48"/>
  <sheetViews>
    <sheetView topLeftCell="A21" zoomScaleNormal="100" workbookViewId="0">
      <selection activeCell="F21" sqref="F21"/>
    </sheetView>
  </sheetViews>
  <sheetFormatPr defaultRowHeight="12.75"/>
  <cols>
    <col min="1" max="1" width="17.5703125" bestFit="1" customWidth="1"/>
    <col min="2" max="2" width="14" customWidth="1"/>
    <col min="3" max="3" width="12.28515625" bestFit="1" customWidth="1"/>
    <col min="4" max="5" width="14" bestFit="1" customWidth="1"/>
    <col min="6" max="6" width="12.28515625" bestFit="1" customWidth="1"/>
    <col min="7" max="7" width="14" bestFit="1" customWidth="1"/>
    <col min="8" max="10" width="17.28515625" customWidth="1"/>
    <col min="11" max="11" width="15.140625" customWidth="1"/>
    <col min="12" max="12" width="14" bestFit="1" customWidth="1"/>
    <col min="13" max="13" width="12.28515625" bestFit="1" customWidth="1"/>
    <col min="14" max="14" width="26.85546875" bestFit="1" customWidth="1"/>
    <col min="15" max="15" width="11.28515625" bestFit="1" customWidth="1"/>
    <col min="16" max="16" width="8.42578125" bestFit="1" customWidth="1"/>
    <col min="17" max="17" width="14" bestFit="1" customWidth="1"/>
  </cols>
  <sheetData>
    <row r="1" spans="1:32" ht="18">
      <c r="A1" s="772" t="s">
        <v>414</v>
      </c>
      <c r="B1" s="772"/>
      <c r="C1" s="772"/>
      <c r="D1" s="772"/>
      <c r="E1" s="772"/>
      <c r="F1" s="772"/>
      <c r="G1" s="772"/>
      <c r="H1" s="772"/>
      <c r="I1" s="772"/>
      <c r="J1" s="772"/>
      <c r="K1" s="772"/>
      <c r="L1" s="772"/>
      <c r="M1" s="617"/>
      <c r="N1" s="617"/>
      <c r="O1" s="617"/>
      <c r="P1" s="617"/>
      <c r="Q1" s="617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</row>
    <row r="2" spans="1:32" ht="18">
      <c r="A2" s="772" t="s">
        <v>415</v>
      </c>
      <c r="B2" s="772"/>
      <c r="C2" s="772"/>
      <c r="D2" s="772"/>
      <c r="E2" s="772"/>
      <c r="F2" s="772"/>
      <c r="G2" s="772"/>
      <c r="H2" s="772"/>
      <c r="I2" s="772"/>
      <c r="J2" s="772"/>
      <c r="K2" s="772"/>
      <c r="L2" s="772"/>
      <c r="M2" s="617"/>
      <c r="N2" s="617"/>
      <c r="O2" s="617"/>
      <c r="P2" s="617"/>
      <c r="Q2" s="617"/>
    </row>
    <row r="3" spans="1:32" ht="18.75" thickBot="1">
      <c r="A3" s="618"/>
      <c r="B3" s="618"/>
      <c r="C3" s="618"/>
      <c r="D3" s="618"/>
      <c r="E3" s="618"/>
      <c r="F3" s="618"/>
      <c r="G3" s="618"/>
      <c r="H3" s="618"/>
      <c r="I3" s="618"/>
      <c r="J3" s="618"/>
      <c r="K3" s="618"/>
      <c r="L3" s="617"/>
      <c r="M3" s="617"/>
      <c r="N3" s="617"/>
      <c r="O3" s="617"/>
      <c r="P3" s="617"/>
      <c r="Q3" s="617"/>
    </row>
    <row r="4" spans="1:32" ht="13.5" thickBot="1">
      <c r="A4" s="607"/>
      <c r="B4" s="765" t="s">
        <v>62</v>
      </c>
      <c r="C4" s="773"/>
      <c r="D4" s="773"/>
      <c r="E4" s="773"/>
      <c r="F4" s="773"/>
      <c r="G4" s="773"/>
      <c r="H4" s="773"/>
      <c r="I4" s="773"/>
      <c r="J4" s="773"/>
      <c r="K4" s="773"/>
      <c r="L4" s="766"/>
      <c r="N4" s="704"/>
      <c r="O4" s="705"/>
    </row>
    <row r="5" spans="1:32" ht="13.5" thickBot="1">
      <c r="A5" s="171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N5" s="706"/>
      <c r="O5" s="707" t="s">
        <v>28</v>
      </c>
    </row>
    <row r="6" spans="1:32" ht="18.75" customHeight="1" thickBot="1">
      <c r="A6" s="171"/>
      <c r="B6" s="53" t="s">
        <v>28</v>
      </c>
      <c r="C6" s="53" t="s">
        <v>29</v>
      </c>
      <c r="D6" s="53" t="s">
        <v>30</v>
      </c>
      <c r="E6" s="53" t="s">
        <v>31</v>
      </c>
      <c r="F6" s="53" t="s">
        <v>69</v>
      </c>
      <c r="G6" s="53" t="s">
        <v>67</v>
      </c>
      <c r="H6" s="53" t="s">
        <v>327</v>
      </c>
      <c r="I6" s="53" t="s">
        <v>68</v>
      </c>
      <c r="J6" s="53" t="s">
        <v>94</v>
      </c>
      <c r="K6" s="53" t="s">
        <v>93</v>
      </c>
      <c r="L6" s="53" t="s">
        <v>2</v>
      </c>
      <c r="N6" s="708" t="s">
        <v>437</v>
      </c>
      <c r="O6" s="711">
        <f>B7</f>
        <v>1758.9303411829433</v>
      </c>
    </row>
    <row r="7" spans="1:32" ht="13.5" thickBot="1">
      <c r="A7" s="10" t="s">
        <v>416</v>
      </c>
      <c r="B7" s="619">
        <f>SUM('Sch DR TSM'!Z7:AB37)/O8</f>
        <v>1758.9303411829433</v>
      </c>
      <c r="C7" s="619"/>
      <c r="D7" s="619"/>
      <c r="E7" s="619"/>
      <c r="F7" s="619"/>
      <c r="G7" s="619"/>
      <c r="H7" s="619"/>
      <c r="I7" s="619"/>
      <c r="J7" s="619"/>
      <c r="K7" s="619"/>
      <c r="L7" s="620">
        <f>SUM(B7:K7)</f>
        <v>1758.9303411829433</v>
      </c>
      <c r="N7" s="708" t="s">
        <v>438</v>
      </c>
      <c r="O7" s="712">
        <f>B7</f>
        <v>1758.9303411829433</v>
      </c>
    </row>
    <row r="8" spans="1:32" ht="13.5" thickBot="1">
      <c r="A8" s="56" t="s">
        <v>417</v>
      </c>
      <c r="B8" s="687">
        <f>B7/$H47</f>
        <v>8.8031973824663025E-7</v>
      </c>
      <c r="C8" s="621"/>
      <c r="D8" s="621"/>
      <c r="E8" s="621"/>
      <c r="F8" s="621"/>
      <c r="G8" s="621"/>
      <c r="H8" s="621"/>
      <c r="I8" s="621"/>
      <c r="J8" s="621"/>
      <c r="K8" s="621"/>
      <c r="L8" s="622">
        <f>L7/$H47</f>
        <v>8.8031973824663025E-7</v>
      </c>
      <c r="N8" s="709" t="s">
        <v>439</v>
      </c>
      <c r="O8" s="710">
        <v>1</v>
      </c>
    </row>
    <row r="9" spans="1:32">
      <c r="B9" s="399"/>
      <c r="C9" s="399"/>
      <c r="D9" s="399"/>
      <c r="E9" s="399"/>
      <c r="F9" s="399"/>
      <c r="G9" s="399"/>
      <c r="H9" s="399"/>
      <c r="I9" s="399"/>
      <c r="J9" s="399"/>
      <c r="K9" s="399"/>
      <c r="L9" s="399"/>
    </row>
    <row r="10" spans="1:32" ht="13.5" thickBot="1">
      <c r="L10" s="31"/>
    </row>
    <row r="11" spans="1:32" ht="13.5" thickBot="1">
      <c r="A11" s="607"/>
      <c r="B11" s="767" t="s">
        <v>418</v>
      </c>
      <c r="C11" s="768"/>
      <c r="D11" s="768"/>
      <c r="E11" s="768"/>
      <c r="F11" s="768"/>
      <c r="G11" s="769"/>
      <c r="H11" s="623"/>
      <c r="I11" s="623"/>
    </row>
    <row r="12" spans="1:32">
      <c r="A12" s="171"/>
      <c r="B12" s="765" t="s">
        <v>358</v>
      </c>
      <c r="C12" s="766"/>
      <c r="D12" s="78"/>
      <c r="E12" s="78"/>
      <c r="F12" s="78"/>
      <c r="G12" s="78"/>
    </row>
    <row r="13" spans="1:32" ht="13.5" thickBot="1">
      <c r="A13" s="171"/>
      <c r="B13" s="348" t="s">
        <v>0</v>
      </c>
      <c r="C13" s="350" t="s">
        <v>1</v>
      </c>
      <c r="D13" s="53" t="s">
        <v>70</v>
      </c>
      <c r="E13" s="53" t="s">
        <v>71</v>
      </c>
      <c r="F13" s="53" t="s">
        <v>74</v>
      </c>
      <c r="G13" s="53" t="s">
        <v>2</v>
      </c>
    </row>
    <row r="14" spans="1:32">
      <c r="A14" s="10" t="s">
        <v>416</v>
      </c>
      <c r="B14" s="624">
        <f>SUM('Sch TOU-A TSM'!R7:T38)/(Inputs!$C$21)</f>
        <v>2881964.2254840899</v>
      </c>
      <c r="C14" s="625"/>
      <c r="D14" s="625"/>
      <c r="E14" s="626">
        <f>SUM('Sch A-TOU TSM'!R7:T38)/(Inputs!$C$21)</f>
        <v>23079.997088478605</v>
      </c>
      <c r="F14" s="626"/>
      <c r="G14" s="625">
        <f>SUM(B14:F14)</f>
        <v>2905044.2225725683</v>
      </c>
    </row>
    <row r="15" spans="1:32" ht="13.5" thickBot="1">
      <c r="A15" s="56" t="s">
        <v>417</v>
      </c>
      <c r="B15" s="627">
        <f>B14/$H47</f>
        <v>1.442382300886373E-3</v>
      </c>
      <c r="C15" s="622"/>
      <c r="D15" s="622"/>
      <c r="E15" s="686">
        <f>E14/$H47</f>
        <v>1.1551211847308317E-5</v>
      </c>
      <c r="F15" s="621"/>
      <c r="G15" s="622">
        <f>G14/$H47</f>
        <v>1.4539335127336812E-3</v>
      </c>
    </row>
    <row r="17" spans="1:13" ht="13.5" thickBot="1"/>
    <row r="18" spans="1:13" ht="13.5" thickBot="1">
      <c r="A18" s="78"/>
      <c r="B18" s="768" t="s">
        <v>419</v>
      </c>
      <c r="C18" s="768"/>
      <c r="D18" s="768"/>
      <c r="E18" s="768"/>
      <c r="F18" s="769"/>
      <c r="G18" s="623"/>
      <c r="H18" s="623"/>
      <c r="I18" s="623"/>
      <c r="J18" s="623"/>
      <c r="K18" s="623"/>
      <c r="L18" s="89"/>
    </row>
    <row r="19" spans="1:13">
      <c r="A19" s="71"/>
      <c r="B19" s="773" t="s">
        <v>75</v>
      </c>
      <c r="C19" s="773"/>
      <c r="D19" s="766"/>
      <c r="E19" s="765" t="s">
        <v>95</v>
      </c>
      <c r="F19" s="766"/>
    </row>
    <row r="20" spans="1:13" ht="13.5" thickBot="1">
      <c r="A20" s="71"/>
      <c r="B20" s="605" t="s">
        <v>0</v>
      </c>
      <c r="C20" s="605" t="s">
        <v>1</v>
      </c>
      <c r="D20" s="606" t="s">
        <v>420</v>
      </c>
      <c r="E20" s="605" t="s">
        <v>0</v>
      </c>
      <c r="F20" s="606" t="s">
        <v>1</v>
      </c>
    </row>
    <row r="21" spans="1:13">
      <c r="A21" s="84" t="s">
        <v>416</v>
      </c>
      <c r="B21" s="628">
        <f>SUM('Sch AL-TOU TSM'!R7:T37)/(Inputs!$C$21)</f>
        <v>15526117.39075028</v>
      </c>
      <c r="C21" s="130">
        <f>SUM('Sch AL-TOU TSM'!V7:X37)/(Inputs!$C$21)</f>
        <v>227048.84338648498</v>
      </c>
      <c r="D21" s="629"/>
      <c r="E21" s="628">
        <f>SUM('Sch DG-R TSM'!R7:T37)/(Inputs!$C$21)</f>
        <v>2072891.37737287</v>
      </c>
      <c r="F21" s="630">
        <f>SUM('Sch DG-R TSM'!V7:X37)/(Inputs!$C$21)</f>
        <v>65700.67208942899</v>
      </c>
    </row>
    <row r="22" spans="1:13" ht="13.5" thickBot="1">
      <c r="A22" s="635" t="s">
        <v>417</v>
      </c>
      <c r="B22" s="631">
        <f>B21/$H47</f>
        <v>7.7706019831459382E-3</v>
      </c>
      <c r="C22" s="631">
        <f>C21/$H47</f>
        <v>1.136347322570871E-4</v>
      </c>
      <c r="D22" s="622"/>
      <c r="E22" s="631">
        <f>E21/$H47</f>
        <v>1.0374527927668438E-3</v>
      </c>
      <c r="F22" s="688">
        <f>F21/$H47</f>
        <v>3.2882256393107626E-5</v>
      </c>
    </row>
    <row r="23" spans="1:13">
      <c r="A23" s="27"/>
      <c r="B23" s="632"/>
      <c r="C23" s="632"/>
      <c r="D23" s="632"/>
      <c r="E23" s="632"/>
      <c r="F23" s="632"/>
      <c r="G23" s="632"/>
      <c r="H23" s="632"/>
      <c r="I23" s="632"/>
      <c r="J23" s="632"/>
      <c r="K23" s="632"/>
      <c r="L23" s="632"/>
      <c r="M23" s="632"/>
    </row>
    <row r="24" spans="1:13" ht="13.5" thickBot="1">
      <c r="A24" s="27"/>
      <c r="B24" s="632"/>
      <c r="C24" s="632"/>
      <c r="D24" s="632"/>
      <c r="E24" s="632"/>
      <c r="F24" s="632"/>
      <c r="G24" s="57"/>
      <c r="H24" s="18"/>
    </row>
    <row r="25" spans="1:13" ht="13.5" thickBot="1">
      <c r="A25" s="607"/>
      <c r="B25" s="767" t="s">
        <v>419</v>
      </c>
      <c r="C25" s="768"/>
      <c r="D25" s="768"/>
      <c r="E25" s="769"/>
      <c r="F25" s="623"/>
      <c r="G25" s="623"/>
    </row>
    <row r="26" spans="1:13">
      <c r="A26" s="71"/>
      <c r="B26" s="765" t="s">
        <v>55</v>
      </c>
      <c r="C26" s="766"/>
      <c r="D26" s="633"/>
      <c r="E26" s="633"/>
    </row>
    <row r="27" spans="1:13" ht="13.5" thickBot="1">
      <c r="A27" s="71"/>
      <c r="B27" s="604" t="s">
        <v>1</v>
      </c>
      <c r="C27" s="606" t="s">
        <v>87</v>
      </c>
      <c r="D27" s="612" t="s">
        <v>132</v>
      </c>
      <c r="E27" s="612" t="s">
        <v>2</v>
      </c>
    </row>
    <row r="28" spans="1:13">
      <c r="A28" s="84" t="s">
        <v>416</v>
      </c>
      <c r="B28" s="634">
        <f>SUM('Sch A6-TOU TSM'!B6:D36)/(Inputs!$C$21)</f>
        <v>5053.8978530329987</v>
      </c>
      <c r="C28" s="629"/>
      <c r="D28" s="620">
        <f>SUM('Sch OL-TOU TSM'!R7:T37)/(Inputs!$C$21)</f>
        <v>73480.934831905848</v>
      </c>
      <c r="E28" s="620">
        <f>SUM(B21:F21,B28:D28)</f>
        <v>17970293.116283998</v>
      </c>
    </row>
    <row r="29" spans="1:13" ht="13.5" thickBot="1">
      <c r="A29" s="635" t="s">
        <v>417</v>
      </c>
      <c r="B29" s="690">
        <f>B28/$H47</f>
        <v>2.5294043379313558E-6</v>
      </c>
      <c r="C29" s="622"/>
      <c r="D29" s="622">
        <f>D28/$H47</f>
        <v>3.6776167766733124E-5</v>
      </c>
      <c r="E29" s="622">
        <f>E28/$H47</f>
        <v>8.993877336667639E-3</v>
      </c>
      <c r="K29" s="632"/>
      <c r="L29" s="632"/>
      <c r="M29" s="632"/>
    </row>
    <row r="31" spans="1:13" ht="13.5" thickBot="1"/>
    <row r="32" spans="1:13" ht="13.5" thickBot="1">
      <c r="A32" s="78"/>
      <c r="B32" s="767" t="s">
        <v>63</v>
      </c>
      <c r="C32" s="768"/>
      <c r="D32" s="768"/>
      <c r="E32" s="768"/>
      <c r="F32" s="769"/>
      <c r="G32" s="78" t="s">
        <v>58</v>
      </c>
      <c r="H32" s="636"/>
    </row>
    <row r="33" spans="1:10" ht="13.5" thickBot="1">
      <c r="A33" s="71"/>
      <c r="B33" s="770" t="s">
        <v>76</v>
      </c>
      <c r="C33" s="771"/>
      <c r="D33" s="770" t="s">
        <v>338</v>
      </c>
      <c r="E33" s="771"/>
      <c r="F33" s="637"/>
      <c r="G33" s="611"/>
      <c r="H33" s="611" t="s">
        <v>413</v>
      </c>
    </row>
    <row r="34" spans="1:10" ht="13.5" thickBot="1">
      <c r="A34" s="71"/>
      <c r="B34" s="348" t="s">
        <v>0</v>
      </c>
      <c r="C34" s="349" t="s">
        <v>1</v>
      </c>
      <c r="D34" s="604" t="s">
        <v>0</v>
      </c>
      <c r="E34" s="605" t="s">
        <v>1</v>
      </c>
      <c r="F34" s="53" t="s">
        <v>2</v>
      </c>
      <c r="G34" s="612" t="s">
        <v>2</v>
      </c>
      <c r="H34" s="612" t="s">
        <v>2</v>
      </c>
    </row>
    <row r="35" spans="1:10">
      <c r="A35" s="84" t="s">
        <v>416</v>
      </c>
      <c r="B35" s="624"/>
      <c r="C35" s="130"/>
      <c r="D35" s="624">
        <f>SUM('Sch TOU-PA TSM'!R7:T37)/(Inputs!$C$21)</f>
        <v>29797.213487623027</v>
      </c>
      <c r="E35" s="130"/>
      <c r="F35" s="153">
        <f>SUM(B35:E35)</f>
        <v>29797.213487623027</v>
      </c>
      <c r="G35" s="620"/>
      <c r="H35" s="638">
        <f>L7+G14+E28+F35+G35</f>
        <v>20906893.482685369</v>
      </c>
    </row>
    <row r="36" spans="1:10" ht="13.5" thickBot="1">
      <c r="A36" s="635" t="s">
        <v>417</v>
      </c>
      <c r="B36" s="627"/>
      <c r="C36" s="631"/>
      <c r="D36" s="689">
        <f>D35/$H47</f>
        <v>1.4913083573430163E-5</v>
      </c>
      <c r="E36" s="631"/>
      <c r="F36" s="686">
        <f>F35/H47</f>
        <v>1.4913083573430163E-5</v>
      </c>
      <c r="G36" s="622"/>
      <c r="H36" s="622">
        <f>L8+G15+E29+F36+G36</f>
        <v>1.0463604252712996E-2</v>
      </c>
    </row>
    <row r="37" spans="1:10" ht="13.5" thickBot="1">
      <c r="B37" s="18"/>
    </row>
    <row r="38" spans="1:10">
      <c r="H38" s="79"/>
    </row>
    <row r="39" spans="1:10">
      <c r="B39" s="336"/>
      <c r="C39" s="336"/>
      <c r="D39" s="336"/>
      <c r="E39" s="336"/>
      <c r="H39" s="71" t="s">
        <v>436</v>
      </c>
    </row>
    <row r="40" spans="1:10" ht="13.5" thickBot="1">
      <c r="H40" s="53" t="s">
        <v>2</v>
      </c>
    </row>
    <row r="41" spans="1:10">
      <c r="B41" s="18"/>
      <c r="C41" s="18"/>
      <c r="D41" s="18"/>
      <c r="E41" s="18"/>
      <c r="H41" s="153">
        <v>1977151612.7212975</v>
      </c>
    </row>
    <row r="42" spans="1:10" ht="13.5" thickBot="1">
      <c r="B42" s="18"/>
      <c r="C42" s="18"/>
      <c r="D42" s="18"/>
      <c r="E42" s="18"/>
      <c r="H42" s="621">
        <v>0.98952968126413632</v>
      </c>
    </row>
    <row r="43" spans="1:10" ht="13.5" thickBot="1"/>
    <row r="44" spans="1:10">
      <c r="H44" s="79"/>
    </row>
    <row r="45" spans="1:10">
      <c r="H45" s="71" t="s">
        <v>435</v>
      </c>
    </row>
    <row r="46" spans="1:10" ht="13.5" thickBot="1">
      <c r="H46" s="53" t="s">
        <v>2</v>
      </c>
    </row>
    <row r="47" spans="1:10">
      <c r="H47" s="153">
        <f>H35+H41</f>
        <v>1998058506.2039828</v>
      </c>
      <c r="J47" s="18"/>
    </row>
    <row r="48" spans="1:10" ht="13.5" thickBot="1">
      <c r="H48" s="621">
        <f>H36+H42</f>
        <v>0.9999932855168493</v>
      </c>
    </row>
  </sheetData>
  <mergeCells count="13">
    <mergeCell ref="B33:C33"/>
    <mergeCell ref="D33:E33"/>
    <mergeCell ref="A1:L1"/>
    <mergeCell ref="A2:L2"/>
    <mergeCell ref="B4:L4"/>
    <mergeCell ref="B11:G11"/>
    <mergeCell ref="B12:C12"/>
    <mergeCell ref="B18:F18"/>
    <mergeCell ref="B19:D19"/>
    <mergeCell ref="E19:F19"/>
    <mergeCell ref="B25:E25"/>
    <mergeCell ref="B26:C26"/>
    <mergeCell ref="B32:F3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E6EC9-CE60-435A-9EE7-2D66BAE711DE}">
  <dimension ref="A1:AI50"/>
  <sheetViews>
    <sheetView zoomScale="70" zoomScaleNormal="70" workbookViewId="0">
      <pane xSplit="1" ySplit="5" topLeftCell="B6" activePane="bottomRight" state="frozen"/>
      <selection activeCell="D15" sqref="D15"/>
      <selection pane="topRight" activeCell="D15" sqref="D15"/>
      <selection pane="bottomLeft" activeCell="D15" sqref="D15"/>
      <selection pane="bottomRight" activeCell="J31" sqref="J31"/>
    </sheetView>
  </sheetViews>
  <sheetFormatPr defaultRowHeight="12.75"/>
  <cols>
    <col min="1" max="1" width="33" bestFit="1" customWidth="1"/>
    <col min="2" max="2" width="18" customWidth="1"/>
    <col min="3" max="4" width="13.140625" bestFit="1" customWidth="1"/>
    <col min="5" max="5" width="14.28515625" bestFit="1" customWidth="1"/>
    <col min="6" max="9" width="12.85546875" customWidth="1"/>
    <col min="10" max="10" width="14.5703125" customWidth="1"/>
    <col min="11" max="11" width="12" bestFit="1" customWidth="1"/>
    <col min="12" max="12" width="17.28515625" bestFit="1" customWidth="1"/>
    <col min="13" max="14" width="15.85546875" customWidth="1"/>
    <col min="15" max="15" width="13.5703125" bestFit="1" customWidth="1"/>
    <col min="16" max="16" width="12.85546875" bestFit="1" customWidth="1"/>
    <col min="17" max="17" width="12.85546875" customWidth="1"/>
    <col min="18" max="18" width="15.42578125" bestFit="1" customWidth="1"/>
    <col min="19" max="19" width="19.140625" customWidth="1"/>
    <col min="20" max="20" width="14.85546875" customWidth="1"/>
    <col min="21" max="21" width="12" customWidth="1"/>
    <col min="22" max="23" width="13.5703125" customWidth="1"/>
    <col min="24" max="25" width="12" bestFit="1" customWidth="1"/>
    <col min="26" max="26" width="12" customWidth="1"/>
    <col min="27" max="33" width="15" customWidth="1"/>
    <col min="34" max="34" width="14.5703125" bestFit="1" customWidth="1"/>
    <col min="35" max="35" width="17.7109375" bestFit="1" customWidth="1"/>
  </cols>
  <sheetData>
    <row r="1" spans="1:35" ht="18.75" thickBot="1">
      <c r="A1" s="741" t="s">
        <v>421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  <c r="N1" s="741"/>
      <c r="O1" s="741"/>
      <c r="P1" s="741"/>
      <c r="Q1" s="741"/>
      <c r="R1" s="741"/>
      <c r="S1" s="760"/>
      <c r="T1" s="760"/>
      <c r="U1" s="760"/>
      <c r="V1" s="760"/>
      <c r="W1" s="760"/>
      <c r="X1" s="760"/>
      <c r="Y1" s="760"/>
      <c r="Z1" s="760"/>
      <c r="AA1" s="760"/>
      <c r="AB1" s="741"/>
      <c r="AC1" s="741"/>
      <c r="AD1" s="741"/>
      <c r="AE1" s="741"/>
      <c r="AF1" s="741"/>
      <c r="AG1" s="741"/>
      <c r="AH1" s="741"/>
    </row>
    <row r="2" spans="1:35" ht="13.5" thickBot="1">
      <c r="A2" s="607"/>
      <c r="B2" s="767" t="s">
        <v>62</v>
      </c>
      <c r="C2" s="768"/>
      <c r="D2" s="768"/>
      <c r="E2" s="768"/>
      <c r="F2" s="768"/>
      <c r="G2" s="768"/>
      <c r="H2" s="768"/>
      <c r="I2" s="768"/>
      <c r="J2" s="768"/>
      <c r="K2" s="768"/>
      <c r="L2" s="769"/>
      <c r="M2" s="767" t="s">
        <v>418</v>
      </c>
      <c r="N2" s="768"/>
      <c r="O2" s="768"/>
      <c r="P2" s="768"/>
      <c r="Q2" s="768"/>
      <c r="R2" s="769"/>
      <c r="S2" s="767" t="s">
        <v>470</v>
      </c>
      <c r="T2" s="768"/>
      <c r="U2" s="768"/>
      <c r="V2" s="768"/>
      <c r="W2" s="768"/>
      <c r="X2" s="768"/>
      <c r="Y2" s="768"/>
      <c r="Z2" s="768"/>
      <c r="AA2" s="769"/>
      <c r="AB2" s="767" t="s">
        <v>63</v>
      </c>
      <c r="AC2" s="768"/>
      <c r="AD2" s="768"/>
      <c r="AE2" s="768"/>
      <c r="AF2" s="769"/>
      <c r="AG2" s="78"/>
      <c r="AH2" s="636"/>
    </row>
    <row r="3" spans="1:35">
      <c r="A3" s="171"/>
      <c r="B3" s="78"/>
      <c r="C3" s="78"/>
      <c r="D3" s="78"/>
      <c r="E3" s="78"/>
      <c r="F3" s="78"/>
      <c r="G3" s="78"/>
      <c r="H3" s="78"/>
      <c r="I3" s="78"/>
      <c r="J3" s="78"/>
      <c r="K3" s="78"/>
      <c r="L3" s="607"/>
      <c r="M3" s="765" t="s">
        <v>358</v>
      </c>
      <c r="N3" s="773"/>
      <c r="O3" s="609"/>
      <c r="P3" s="78"/>
      <c r="Q3" s="78"/>
      <c r="R3" s="609"/>
      <c r="S3" s="765" t="s">
        <v>75</v>
      </c>
      <c r="T3" s="773"/>
      <c r="U3" s="766"/>
      <c r="V3" s="765" t="s">
        <v>95</v>
      </c>
      <c r="W3" s="766"/>
      <c r="X3" s="765" t="s">
        <v>55</v>
      </c>
      <c r="Y3" s="766"/>
      <c r="Z3" s="78"/>
      <c r="AA3" s="78"/>
      <c r="AB3" s="765" t="s">
        <v>76</v>
      </c>
      <c r="AC3" s="773"/>
      <c r="AD3" s="765" t="s">
        <v>338</v>
      </c>
      <c r="AE3" s="766"/>
      <c r="AF3" s="636"/>
      <c r="AG3" s="71" t="s">
        <v>58</v>
      </c>
      <c r="AH3" s="611" t="s">
        <v>413</v>
      </c>
    </row>
    <row r="4" spans="1:35" ht="13.5" thickBot="1">
      <c r="A4" s="171"/>
      <c r="B4" s="53" t="s">
        <v>28</v>
      </c>
      <c r="C4" s="53" t="s">
        <v>29</v>
      </c>
      <c r="D4" s="53" t="s">
        <v>30</v>
      </c>
      <c r="E4" s="53" t="s">
        <v>31</v>
      </c>
      <c r="F4" s="53" t="s">
        <v>69</v>
      </c>
      <c r="G4" s="53" t="s">
        <v>67</v>
      </c>
      <c r="H4" s="53" t="s">
        <v>327</v>
      </c>
      <c r="I4" s="53" t="s">
        <v>68</v>
      </c>
      <c r="J4" s="53" t="s">
        <v>94</v>
      </c>
      <c r="K4" s="53" t="s">
        <v>93</v>
      </c>
      <c r="L4" s="610" t="s">
        <v>2</v>
      </c>
      <c r="M4" s="348" t="s">
        <v>0</v>
      </c>
      <c r="N4" s="349" t="s">
        <v>1</v>
      </c>
      <c r="O4" s="612" t="s">
        <v>70</v>
      </c>
      <c r="P4" s="53" t="s">
        <v>71</v>
      </c>
      <c r="Q4" s="53" t="s">
        <v>74</v>
      </c>
      <c r="R4" s="612" t="s">
        <v>2</v>
      </c>
      <c r="S4" s="604" t="s">
        <v>0</v>
      </c>
      <c r="T4" s="605" t="s">
        <v>1</v>
      </c>
      <c r="U4" s="606" t="s">
        <v>420</v>
      </c>
      <c r="V4" s="604" t="s">
        <v>0</v>
      </c>
      <c r="W4" s="606" t="s">
        <v>1</v>
      </c>
      <c r="X4" s="604" t="s">
        <v>1</v>
      </c>
      <c r="Y4" s="606" t="s">
        <v>420</v>
      </c>
      <c r="Z4" s="77" t="s">
        <v>132</v>
      </c>
      <c r="AA4" s="53" t="s">
        <v>2</v>
      </c>
      <c r="AB4" s="604" t="s">
        <v>0</v>
      </c>
      <c r="AC4" s="605" t="s">
        <v>1</v>
      </c>
      <c r="AD4" s="604" t="s">
        <v>0</v>
      </c>
      <c r="AE4" s="606" t="s">
        <v>1</v>
      </c>
      <c r="AF4" s="612" t="s">
        <v>2</v>
      </c>
      <c r="AG4" s="53" t="s">
        <v>2</v>
      </c>
      <c r="AH4" s="612" t="s">
        <v>2</v>
      </c>
    </row>
    <row r="5" spans="1:35">
      <c r="A5" s="3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5"/>
      <c r="N5" s="7"/>
      <c r="O5" s="9"/>
      <c r="P5" s="106"/>
      <c r="Q5" s="106"/>
      <c r="R5" s="8"/>
      <c r="S5" s="5"/>
      <c r="T5" s="6"/>
      <c r="U5" s="9"/>
      <c r="V5" s="104"/>
      <c r="W5" s="9"/>
      <c r="X5" s="104"/>
      <c r="Y5" s="9"/>
      <c r="Z5" s="106"/>
      <c r="AA5" s="105"/>
      <c r="AB5" s="104"/>
      <c r="AC5" s="8"/>
      <c r="AD5" s="5"/>
      <c r="AE5" s="7"/>
      <c r="AF5" s="76"/>
      <c r="AG5" s="105"/>
      <c r="AH5" s="7"/>
    </row>
    <row r="6" spans="1:35">
      <c r="A6" s="36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10"/>
      <c r="N6" s="81"/>
      <c r="O6" s="81"/>
      <c r="P6" s="84"/>
      <c r="Q6" s="84"/>
      <c r="R6" s="27"/>
      <c r="S6" s="10"/>
      <c r="T6" s="8"/>
      <c r="U6" s="9"/>
      <c r="V6" s="10"/>
      <c r="W6" s="9"/>
      <c r="X6" s="104"/>
      <c r="Y6" s="9"/>
      <c r="Z6" s="106"/>
      <c r="AA6" s="106"/>
      <c r="AB6" s="10"/>
      <c r="AC6" s="8"/>
      <c r="AD6" s="104"/>
      <c r="AE6" s="9"/>
      <c r="AF6" s="76"/>
      <c r="AG6" s="106"/>
      <c r="AH6" s="9"/>
    </row>
    <row r="7" spans="1:35">
      <c r="A7" s="86" t="s">
        <v>422</v>
      </c>
      <c r="B7" s="691">
        <f>'TSM Cap Cost Allocations'!B8</f>
        <v>8.8031973824663025E-7</v>
      </c>
      <c r="C7" s="639"/>
      <c r="D7" s="639"/>
      <c r="E7" s="639"/>
      <c r="F7" s="639"/>
      <c r="G7" s="639"/>
      <c r="H7" s="639"/>
      <c r="I7" s="639"/>
      <c r="J7" s="639"/>
      <c r="K7" s="639"/>
      <c r="L7" s="691">
        <f>SUM(B7:K7)</f>
        <v>8.8031973824663025E-7</v>
      </c>
      <c r="M7" s="640">
        <f>'TSM Cap Cost Allocations'!B15</f>
        <v>1.442382300886373E-3</v>
      </c>
      <c r="N7" s="641"/>
      <c r="O7" s="641"/>
      <c r="P7" s="692">
        <f>'TSM Cap Cost Allocations'!E15</f>
        <v>1.1551211847308317E-5</v>
      </c>
      <c r="Q7" s="642"/>
      <c r="R7" s="639">
        <f>SUM(M7:Q7)</f>
        <v>1.4539335127336814E-3</v>
      </c>
      <c r="S7" s="640">
        <f>'TSM Cap Cost Allocations'!B22</f>
        <v>7.7706019831459382E-3</v>
      </c>
      <c r="T7" s="639">
        <f>'TSM Cap Cost Allocations'!C22</f>
        <v>1.136347322570871E-4</v>
      </c>
      <c r="U7" s="643"/>
      <c r="V7" s="640">
        <f>'TSM Cap Cost Allocations'!E22</f>
        <v>1.0374527927668438E-3</v>
      </c>
      <c r="W7" s="644">
        <f>'TSM Cap Cost Allocations'!F22</f>
        <v>3.2882256393107626E-5</v>
      </c>
      <c r="X7" s="694">
        <f>'TSM Cap Cost Allocations'!B29</f>
        <v>2.5294043379313558E-6</v>
      </c>
      <c r="Y7" s="641"/>
      <c r="Z7" s="692">
        <f>'TSM Cap Cost Allocations'!D29</f>
        <v>3.6776167766733124E-5</v>
      </c>
      <c r="AA7" s="642">
        <f>SUM(S7:Z7)</f>
        <v>8.9938773366676425E-3</v>
      </c>
      <c r="AB7" s="640"/>
      <c r="AC7" s="639"/>
      <c r="AD7" s="693">
        <f>'TSM Cap Cost Allocations'!D36</f>
        <v>1.4913083573430163E-5</v>
      </c>
      <c r="AE7" s="644"/>
      <c r="AF7" s="645">
        <f>SUM(AB7:AE7)</f>
        <v>1.4913083573430163E-5</v>
      </c>
      <c r="AG7" s="642"/>
      <c r="AH7" s="641">
        <f>L7+R7+AA7+AF7</f>
        <v>1.0463604252712999E-2</v>
      </c>
    </row>
    <row r="8" spans="1:35">
      <c r="A8" s="86"/>
      <c r="B8" s="23"/>
      <c r="C8" s="23"/>
      <c r="D8" s="23"/>
      <c r="E8" s="646"/>
      <c r="F8" s="646"/>
      <c r="G8" s="23"/>
      <c r="H8" s="23"/>
      <c r="I8" s="23"/>
      <c r="J8" s="646"/>
      <c r="K8" s="646"/>
      <c r="L8" s="647"/>
      <c r="M8" s="648"/>
      <c r="N8" s="649"/>
      <c r="O8" s="649"/>
      <c r="P8" s="650"/>
      <c r="Q8" s="650"/>
      <c r="R8" s="647"/>
      <c r="S8" s="651"/>
      <c r="T8" s="101"/>
      <c r="U8" s="652"/>
      <c r="V8" s="651"/>
      <c r="W8" s="652"/>
      <c r="X8" s="651"/>
      <c r="Y8" s="641"/>
      <c r="Z8" s="642"/>
      <c r="AA8" s="653"/>
      <c r="AB8" s="651"/>
      <c r="AC8" s="101"/>
      <c r="AD8" s="651"/>
      <c r="AE8" s="641"/>
      <c r="AF8" s="654"/>
      <c r="AG8" s="642"/>
      <c r="AH8" s="652"/>
    </row>
    <row r="9" spans="1:35">
      <c r="A9" s="36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09"/>
      <c r="N9" s="41"/>
      <c r="O9" s="41"/>
      <c r="P9" s="136"/>
      <c r="Q9" s="136"/>
      <c r="R9" s="23"/>
      <c r="S9" s="651"/>
      <c r="T9" s="101"/>
      <c r="U9" s="652"/>
      <c r="V9" s="651"/>
      <c r="W9" s="652"/>
      <c r="X9" s="651"/>
      <c r="Y9" s="652"/>
      <c r="Z9" s="655"/>
      <c r="AA9" s="655"/>
      <c r="AB9" s="651"/>
      <c r="AC9" s="101"/>
      <c r="AD9" s="651"/>
      <c r="AE9" s="652"/>
      <c r="AF9" s="656"/>
      <c r="AG9" s="655"/>
      <c r="AH9" s="652"/>
      <c r="AI9" s="657"/>
    </row>
    <row r="10" spans="1:35">
      <c r="A10" s="36" t="s">
        <v>423</v>
      </c>
      <c r="B10" s="101">
        <f>J31*B7</f>
        <v>36.328843819784687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1">
        <f>$J31*L7</f>
        <v>36.328843819784687</v>
      </c>
      <c r="M10" s="651">
        <f>$J31*M7</f>
        <v>59523.91961776316</v>
      </c>
      <c r="N10" s="652"/>
      <c r="O10" s="652"/>
      <c r="P10" s="655">
        <f>$J31*P7</f>
        <v>476.69290247419565</v>
      </c>
      <c r="Q10" s="655"/>
      <c r="R10" s="101">
        <f>$J31*R7</f>
        <v>60000.612520237359</v>
      </c>
      <c r="S10" s="651">
        <f>$J31*S7</f>
        <v>320675.51545950869</v>
      </c>
      <c r="T10" s="101">
        <f>$J31*T7</f>
        <v>4689.4534580050558</v>
      </c>
      <c r="U10" s="652"/>
      <c r="V10" s="651">
        <f>$J31*V7</f>
        <v>42813.376596432783</v>
      </c>
      <c r="W10" s="652">
        <f>$J31*W7</f>
        <v>1356.9778173173843</v>
      </c>
      <c r="X10" s="651">
        <f>$J31*X7</f>
        <v>104.38290902441418</v>
      </c>
      <c r="Y10" s="652"/>
      <c r="Z10" s="655">
        <f>$J31*Z7</f>
        <v>1517.6709064241654</v>
      </c>
      <c r="AA10" s="655">
        <f>$J31*AA7</f>
        <v>371157.37714671256</v>
      </c>
      <c r="AB10" s="651"/>
      <c r="AC10" s="101"/>
      <c r="AD10" s="651">
        <f>$J31*AD7</f>
        <v>615.42989492615152</v>
      </c>
      <c r="AE10" s="652"/>
      <c r="AF10" s="658">
        <f>$J31*AF7</f>
        <v>615.42989492615152</v>
      </c>
      <c r="AG10" s="655"/>
      <c r="AH10" s="652">
        <f>AH7*J31</f>
        <v>431809.74840569578</v>
      </c>
      <c r="AI10" s="298"/>
    </row>
    <row r="11" spans="1:35">
      <c r="A11" s="36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651"/>
      <c r="N11" s="652"/>
      <c r="O11" s="652"/>
      <c r="P11" s="655"/>
      <c r="Q11" s="655"/>
      <c r="R11" s="101"/>
      <c r="S11" s="651"/>
      <c r="T11" s="101"/>
      <c r="U11" s="652"/>
      <c r="V11" s="651"/>
      <c r="W11" s="652"/>
      <c r="X11" s="651"/>
      <c r="Y11" s="652"/>
      <c r="Z11" s="655"/>
      <c r="AA11" s="655"/>
      <c r="AB11" s="651"/>
      <c r="AC11" s="101"/>
      <c r="AD11" s="651"/>
      <c r="AE11" s="652"/>
      <c r="AF11" s="659"/>
      <c r="AG11" s="655"/>
      <c r="AH11" s="652"/>
      <c r="AI11" s="23"/>
    </row>
    <row r="12" spans="1:35">
      <c r="A12" s="36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651"/>
      <c r="N12" s="652"/>
      <c r="O12" s="652"/>
      <c r="P12" s="655"/>
      <c r="Q12" s="655"/>
      <c r="R12" s="101"/>
      <c r="S12" s="651"/>
      <c r="T12" s="101"/>
      <c r="U12" s="652"/>
      <c r="V12" s="651"/>
      <c r="W12" s="652"/>
      <c r="X12" s="651"/>
      <c r="Y12" s="652"/>
      <c r="Z12" s="655"/>
      <c r="AA12" s="655"/>
      <c r="AB12" s="651"/>
      <c r="AC12" s="101"/>
      <c r="AD12" s="651"/>
      <c r="AE12" s="652"/>
      <c r="AF12" s="659"/>
      <c r="AG12" s="655"/>
      <c r="AH12" s="652"/>
    </row>
    <row r="13" spans="1:35">
      <c r="A13" s="36" t="s">
        <v>424</v>
      </c>
      <c r="B13" s="101">
        <f>$A$14*B10</f>
        <v>11.427485772084253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>
        <f t="shared" ref="L13:AA13" si="0">$A$14*L10</f>
        <v>11.427485772084253</v>
      </c>
      <c r="M13" s="651">
        <f t="shared" si="0"/>
        <v>18723.655173419906</v>
      </c>
      <c r="N13" s="652"/>
      <c r="O13" s="652"/>
      <c r="P13" s="655">
        <f t="shared" si="0"/>
        <v>149.94700595758468</v>
      </c>
      <c r="Q13" s="655"/>
      <c r="R13" s="655">
        <f t="shared" si="0"/>
        <v>18873.602179377489</v>
      </c>
      <c r="S13" s="651">
        <f t="shared" si="0"/>
        <v>100870.6720353601</v>
      </c>
      <c r="T13" s="101">
        <f t="shared" si="0"/>
        <v>1475.0995912790293</v>
      </c>
      <c r="U13" s="652"/>
      <c r="V13" s="651">
        <f>$A$14*V10</f>
        <v>13467.23981466692</v>
      </c>
      <c r="W13" s="652">
        <f>$A$14*W10</f>
        <v>426.84663396811231</v>
      </c>
      <c r="X13" s="651">
        <f t="shared" si="0"/>
        <v>32.834356459085562</v>
      </c>
      <c r="Y13" s="652"/>
      <c r="Z13" s="655">
        <f t="shared" si="0"/>
        <v>477.39374189561403</v>
      </c>
      <c r="AA13" s="655">
        <f t="shared" si="0"/>
        <v>116750.08617362888</v>
      </c>
      <c r="AB13" s="651"/>
      <c r="AC13" s="101"/>
      <c r="AD13" s="651">
        <f>$A$14*AD10</f>
        <v>193.58767382940582</v>
      </c>
      <c r="AE13" s="652"/>
      <c r="AF13" s="651">
        <f>$A$14*AF10</f>
        <v>193.58767382940582</v>
      </c>
      <c r="AG13" s="655"/>
      <c r="AH13" s="652">
        <f>L13+R13+AA13+AF13</f>
        <v>135828.70351260784</v>
      </c>
      <c r="AI13" s="23"/>
    </row>
    <row r="14" spans="1:35">
      <c r="A14" s="660">
        <v>0.31455682511593847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651"/>
      <c r="N14" s="652"/>
      <c r="O14" s="652"/>
      <c r="P14" s="655"/>
      <c r="Q14" s="655"/>
      <c r="R14" s="101"/>
      <c r="S14" s="651"/>
      <c r="T14" s="101"/>
      <c r="U14" s="652"/>
      <c r="V14" s="651"/>
      <c r="W14" s="652"/>
      <c r="X14" s="651"/>
      <c r="Y14" s="652"/>
      <c r="Z14" s="655"/>
      <c r="AA14" s="655"/>
      <c r="AB14" s="651"/>
      <c r="AC14" s="101"/>
      <c r="AD14" s="651"/>
      <c r="AE14" s="652"/>
      <c r="AF14" s="659"/>
      <c r="AG14" s="655"/>
      <c r="AH14" s="652"/>
      <c r="AI14" s="23"/>
    </row>
    <row r="15" spans="1:35">
      <c r="A15" s="36"/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651"/>
      <c r="N15" s="652"/>
      <c r="O15" s="652"/>
      <c r="P15" s="655"/>
      <c r="Q15" s="655"/>
      <c r="R15" s="101"/>
      <c r="S15" s="651"/>
      <c r="T15" s="101"/>
      <c r="U15" s="652"/>
      <c r="V15" s="651"/>
      <c r="W15" s="652"/>
      <c r="X15" s="651"/>
      <c r="Y15" s="652"/>
      <c r="Z15" s="655"/>
      <c r="AA15" s="655"/>
      <c r="AB15" s="651"/>
      <c r="AC15" s="101"/>
      <c r="AD15" s="651"/>
      <c r="AE15" s="652"/>
      <c r="AF15" s="659"/>
      <c r="AG15" s="655"/>
      <c r="AH15" s="652"/>
    </row>
    <row r="16" spans="1:35">
      <c r="A16" s="36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651"/>
      <c r="N16" s="652"/>
      <c r="O16" s="652"/>
      <c r="P16" s="655"/>
      <c r="Q16" s="655"/>
      <c r="R16" s="101"/>
      <c r="S16" s="651"/>
      <c r="T16" s="101"/>
      <c r="U16" s="652"/>
      <c r="V16" s="651"/>
      <c r="W16" s="652"/>
      <c r="X16" s="651"/>
      <c r="Y16" s="652"/>
      <c r="Z16" s="655"/>
      <c r="AA16" s="655"/>
      <c r="AB16" s="651"/>
      <c r="AC16" s="101"/>
      <c r="AD16" s="651"/>
      <c r="AE16" s="652"/>
      <c r="AF16" s="659"/>
      <c r="AG16" s="655"/>
      <c r="AH16" s="652"/>
    </row>
    <row r="17" spans="1:35">
      <c r="A17" s="36" t="s">
        <v>2</v>
      </c>
      <c r="B17" s="101">
        <f t="shared" ref="B17:AA17" si="1">B10+B13</f>
        <v>47.756329591868941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>
        <f t="shared" si="1"/>
        <v>47.756329591868941</v>
      </c>
      <c r="M17" s="651">
        <f t="shared" si="1"/>
        <v>78247.574791183069</v>
      </c>
      <c r="N17" s="652"/>
      <c r="O17" s="652"/>
      <c r="P17" s="655">
        <f t="shared" si="1"/>
        <v>626.63990843178033</v>
      </c>
      <c r="Q17" s="655"/>
      <c r="R17" s="101">
        <f t="shared" si="1"/>
        <v>78874.214699614851</v>
      </c>
      <c r="S17" s="651">
        <f t="shared" si="1"/>
        <v>421546.18749486876</v>
      </c>
      <c r="T17" s="101">
        <f t="shared" si="1"/>
        <v>6164.5530492840853</v>
      </c>
      <c r="U17" s="652"/>
      <c r="V17" s="651">
        <f t="shared" si="1"/>
        <v>56280.616411099705</v>
      </c>
      <c r="W17" s="652">
        <f t="shared" si="1"/>
        <v>1783.8244512854967</v>
      </c>
      <c r="X17" s="651">
        <f t="shared" si="1"/>
        <v>137.21726548349974</v>
      </c>
      <c r="Y17" s="652"/>
      <c r="Z17" s="655">
        <f t="shared" si="1"/>
        <v>1995.0646483197795</v>
      </c>
      <c r="AA17" s="655">
        <f t="shared" si="1"/>
        <v>487907.46332034143</v>
      </c>
      <c r="AB17" s="651"/>
      <c r="AC17" s="101"/>
      <c r="AD17" s="651">
        <f>AD10+AD13</f>
        <v>809.01756875555736</v>
      </c>
      <c r="AE17" s="652"/>
      <c r="AF17" s="658">
        <f>AF10+AF13</f>
        <v>809.01756875555736</v>
      </c>
      <c r="AG17" s="655"/>
      <c r="AH17" s="652">
        <f>AH10+AH13</f>
        <v>567638.45191830362</v>
      </c>
      <c r="AI17" s="23"/>
    </row>
    <row r="18" spans="1:35">
      <c r="A18" s="36"/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651"/>
      <c r="N18" s="652"/>
      <c r="O18" s="652"/>
      <c r="P18" s="655"/>
      <c r="Q18" s="655"/>
      <c r="R18" s="101"/>
      <c r="S18" s="651"/>
      <c r="T18" s="101"/>
      <c r="U18" s="652"/>
      <c r="V18" s="651"/>
      <c r="W18" s="652"/>
      <c r="X18" s="651"/>
      <c r="Y18" s="652"/>
      <c r="Z18" s="655"/>
      <c r="AA18" s="655"/>
      <c r="AB18" s="651"/>
      <c r="AC18" s="101"/>
      <c r="AD18" s="651"/>
      <c r="AE18" s="652"/>
      <c r="AF18" s="661"/>
      <c r="AG18" s="655"/>
      <c r="AH18" s="652"/>
    </row>
    <row r="19" spans="1:35">
      <c r="A19" s="36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651"/>
      <c r="N19" s="652"/>
      <c r="O19" s="652"/>
      <c r="P19" s="655"/>
      <c r="Q19" s="655"/>
      <c r="R19" s="101"/>
      <c r="S19" s="651"/>
      <c r="T19" s="101"/>
      <c r="U19" s="652"/>
      <c r="V19" s="651"/>
      <c r="W19" s="652"/>
      <c r="X19" s="651"/>
      <c r="Y19" s="652"/>
      <c r="Z19" s="655"/>
      <c r="AA19" s="655"/>
      <c r="AB19" s="651"/>
      <c r="AC19" s="101"/>
      <c r="AD19" s="651"/>
      <c r="AE19" s="652"/>
      <c r="AF19" s="659"/>
      <c r="AG19" s="655"/>
      <c r="AH19" s="652"/>
    </row>
    <row r="20" spans="1:35">
      <c r="A20" s="36" t="s">
        <v>425</v>
      </c>
      <c r="B20" s="662">
        <f>B17/'Total Customers'!B39</f>
        <v>47.756329591868941</v>
      </c>
      <c r="C20" s="662"/>
      <c r="D20" s="662"/>
      <c r="E20" s="662"/>
      <c r="F20" s="662"/>
      <c r="G20" s="662"/>
      <c r="H20" s="662"/>
      <c r="I20" s="662"/>
      <c r="J20" s="662"/>
      <c r="K20" s="662"/>
      <c r="L20" s="662">
        <f>L17/'Total Customers'!L39</f>
        <v>47.756329591868941</v>
      </c>
      <c r="M20" s="663">
        <f>M17/'Total Customers'!M39</f>
        <v>121.88095761866522</v>
      </c>
      <c r="N20" s="664"/>
      <c r="O20" s="664"/>
      <c r="P20" s="665">
        <f>P17/'Total Customers'!P39</f>
        <v>313.31995421589016</v>
      </c>
      <c r="Q20" s="665"/>
      <c r="R20" s="662">
        <f>R17/'Total Customers'!R39</f>
        <v>122.47548866399822</v>
      </c>
      <c r="S20" s="663">
        <f>S17/'Total Customers'!S39</f>
        <v>524.31117847620487</v>
      </c>
      <c r="T20" s="662">
        <f>T17/'Total Customers'!T39</f>
        <v>136.99006776186857</v>
      </c>
      <c r="U20" s="664"/>
      <c r="V20" s="663">
        <f>V17/'Total Customers'!V39</f>
        <v>551.77074912842852</v>
      </c>
      <c r="W20" s="666">
        <f>W17/'Total Customers'!W39</f>
        <v>137.21726548349974</v>
      </c>
      <c r="X20" s="663">
        <f>X17/'Total Customers'!X39</f>
        <v>137.21726548349974</v>
      </c>
      <c r="Y20" s="695"/>
      <c r="Z20" s="665">
        <f>Z17/'Total Customers'!Z39</f>
        <v>665.0215494399265</v>
      </c>
      <c r="AA20" s="665">
        <f>AA17/'Total Customers'!AA39</f>
        <v>504.03663566150976</v>
      </c>
      <c r="AB20" s="663"/>
      <c r="AC20" s="662"/>
      <c r="AD20" s="663">
        <f>AD17/'Total Customers'!AD39</f>
        <v>269.67252291851912</v>
      </c>
      <c r="AE20" s="664"/>
      <c r="AF20" s="664">
        <f>AF17/'Total Customers'!AF39</f>
        <v>269.67252291851912</v>
      </c>
      <c r="AG20" s="665"/>
      <c r="AH20" s="666">
        <v>330.21434084834414</v>
      </c>
    </row>
    <row r="21" spans="1:35">
      <c r="A21" s="36"/>
      <c r="B21" s="23"/>
      <c r="C21" s="23"/>
      <c r="D21" s="23"/>
      <c r="E21" s="33"/>
      <c r="F21" s="33"/>
      <c r="G21" s="33"/>
      <c r="H21" s="33"/>
      <c r="I21" s="33"/>
      <c r="J21" s="33"/>
      <c r="K21" s="33"/>
      <c r="L21" s="33"/>
      <c r="M21" s="111"/>
      <c r="N21" s="34"/>
      <c r="O21" s="34"/>
      <c r="P21" s="667"/>
      <c r="Q21" s="667"/>
      <c r="R21" s="33"/>
      <c r="S21" s="651"/>
      <c r="T21" s="101"/>
      <c r="U21" s="652"/>
      <c r="V21" s="651"/>
      <c r="W21" s="652"/>
      <c r="X21" s="651"/>
      <c r="Y21" s="666"/>
      <c r="Z21" s="668"/>
      <c r="AA21" s="668"/>
      <c r="AB21" s="651"/>
      <c r="AC21" s="101"/>
      <c r="AD21" s="651"/>
      <c r="AE21" s="652"/>
      <c r="AF21" s="659"/>
      <c r="AG21" s="668"/>
      <c r="AH21" s="652"/>
    </row>
    <row r="22" spans="1:35">
      <c r="A22" s="36"/>
      <c r="B22" s="23"/>
      <c r="C22" s="23"/>
      <c r="D22" s="23"/>
      <c r="E22" s="33"/>
      <c r="F22" s="33"/>
      <c r="G22" s="33"/>
      <c r="H22" s="33"/>
      <c r="I22" s="33"/>
      <c r="J22" s="33"/>
      <c r="K22" s="33"/>
      <c r="L22" s="669" t="s">
        <v>426</v>
      </c>
      <c r="M22" s="109"/>
      <c r="N22" s="41"/>
      <c r="O22" s="34"/>
      <c r="P22" s="667"/>
      <c r="Q22" s="667"/>
      <c r="R22" s="670"/>
      <c r="S22" s="651">
        <f>'Total Customers'!S39</f>
        <v>804</v>
      </c>
      <c r="T22" s="101">
        <f>'Total Customers'!T39</f>
        <v>45</v>
      </c>
      <c r="U22" s="652"/>
      <c r="V22" s="651">
        <f>'Total Customers'!V39</f>
        <v>102</v>
      </c>
      <c r="W22" s="652">
        <f>'Total Customers'!W39</f>
        <v>13</v>
      </c>
      <c r="X22" s="651"/>
      <c r="Y22" s="652"/>
      <c r="Z22" s="655"/>
      <c r="AA22" s="668"/>
      <c r="AB22" s="109"/>
      <c r="AC22" s="23"/>
      <c r="AD22" s="109"/>
      <c r="AE22" s="41"/>
      <c r="AF22" s="658"/>
      <c r="AG22" s="668"/>
      <c r="AH22" s="652"/>
    </row>
    <row r="23" spans="1:35">
      <c r="A23" s="36"/>
      <c r="B23" s="23"/>
      <c r="C23" s="23"/>
      <c r="D23" s="23"/>
      <c r="E23" s="33"/>
      <c r="F23" s="33"/>
      <c r="G23" s="33"/>
      <c r="H23" s="33"/>
      <c r="I23" s="33"/>
      <c r="J23" s="33"/>
      <c r="K23" s="33"/>
      <c r="L23" s="669" t="s">
        <v>427</v>
      </c>
      <c r="M23" s="671"/>
      <c r="N23" s="672"/>
      <c r="O23" s="34"/>
      <c r="P23" s="667"/>
      <c r="Q23" s="667"/>
      <c r="R23" s="670"/>
      <c r="S23" s="671">
        <f t="shared" ref="S23:W23" si="2">S20*S22</f>
        <v>421546.1874948687</v>
      </c>
      <c r="T23" s="673">
        <f t="shared" si="2"/>
        <v>6164.5530492840862</v>
      </c>
      <c r="U23" s="672"/>
      <c r="V23" s="671">
        <f t="shared" si="2"/>
        <v>56280.616411099712</v>
      </c>
      <c r="W23" s="672">
        <f t="shared" si="2"/>
        <v>1783.8244512854967</v>
      </c>
      <c r="X23" s="671"/>
      <c r="Y23" s="672"/>
      <c r="Z23" s="674"/>
      <c r="AA23" s="668"/>
      <c r="AB23" s="671"/>
      <c r="AC23" s="673"/>
      <c r="AD23" s="671"/>
      <c r="AE23" s="672"/>
      <c r="AF23" s="658"/>
      <c r="AG23" s="668"/>
      <c r="AH23" s="652"/>
    </row>
    <row r="24" spans="1:35">
      <c r="A24" s="36"/>
      <c r="B24" s="23"/>
      <c r="C24" s="23"/>
      <c r="D24" s="23"/>
      <c r="E24" s="33"/>
      <c r="F24" s="33"/>
      <c r="G24" s="33"/>
      <c r="H24" s="33"/>
      <c r="I24" s="33"/>
      <c r="J24" s="33"/>
      <c r="K24" s="33"/>
      <c r="L24" s="669" t="s">
        <v>428</v>
      </c>
      <c r="M24" s="675"/>
      <c r="N24" s="676"/>
      <c r="O24" s="34"/>
      <c r="P24" s="667"/>
      <c r="Q24" s="667"/>
      <c r="R24" s="670"/>
      <c r="S24" s="677"/>
      <c r="T24" s="678"/>
      <c r="U24" s="676">
        <f>SUM(S23:T23)/SUM(S22:T22)</f>
        <v>503.78179098251212</v>
      </c>
      <c r="V24" s="677"/>
      <c r="W24" s="676">
        <f>SUM(V23:W23)/SUM(V22:W22)</f>
        <v>504.90818141204528</v>
      </c>
      <c r="X24" s="677"/>
      <c r="Y24" s="676"/>
      <c r="Z24" s="679"/>
      <c r="AA24" s="668"/>
      <c r="AB24" s="677"/>
      <c r="AC24" s="680"/>
      <c r="AD24" s="677"/>
      <c r="AE24" s="676"/>
      <c r="AF24" s="658"/>
      <c r="AG24" s="668"/>
      <c r="AH24" s="652"/>
    </row>
    <row r="25" spans="1:35">
      <c r="A25" s="36"/>
      <c r="B25" s="23"/>
      <c r="C25" s="23"/>
      <c r="D25" s="23"/>
      <c r="E25" s="33"/>
      <c r="F25" s="33"/>
      <c r="G25" s="33"/>
      <c r="H25" s="33"/>
      <c r="I25" s="33"/>
      <c r="J25" s="33"/>
      <c r="K25" s="33"/>
      <c r="L25" s="33"/>
      <c r="M25" s="111"/>
      <c r="N25" s="34"/>
      <c r="O25" s="34"/>
      <c r="P25" s="667"/>
      <c r="Q25" s="667"/>
      <c r="R25" s="33"/>
      <c r="S25" s="109"/>
      <c r="T25" s="23"/>
      <c r="U25" s="41"/>
      <c r="V25" s="109"/>
      <c r="W25" s="41"/>
      <c r="X25" s="109"/>
      <c r="Y25" s="41"/>
      <c r="Z25" s="136"/>
      <c r="AA25" s="667"/>
      <c r="AB25" s="109"/>
      <c r="AC25" s="23"/>
      <c r="AD25" s="111"/>
      <c r="AE25" s="34"/>
      <c r="AF25" s="638"/>
      <c r="AG25" s="667"/>
      <c r="AH25" s="41"/>
    </row>
    <row r="26" spans="1:35">
      <c r="A26" s="651"/>
      <c r="B26" s="82"/>
      <c r="C26" s="12"/>
      <c r="D26" s="23"/>
      <c r="E26" s="12"/>
      <c r="F26" s="12"/>
      <c r="G26" s="12"/>
      <c r="H26" s="12"/>
      <c r="I26" s="12"/>
      <c r="J26" s="12"/>
      <c r="K26" s="33"/>
      <c r="L26" s="33"/>
      <c r="M26" s="111"/>
      <c r="N26" s="34"/>
      <c r="O26" s="34"/>
      <c r="P26" s="667"/>
      <c r="Q26" s="667"/>
      <c r="R26" s="33"/>
      <c r="S26" s="109"/>
      <c r="T26" s="23"/>
      <c r="U26" s="41"/>
      <c r="V26" s="109"/>
      <c r="W26" s="41"/>
      <c r="X26" s="109"/>
      <c r="Y26" s="34"/>
      <c r="Z26" s="667"/>
      <c r="AA26" s="667"/>
      <c r="AB26" s="109"/>
      <c r="AC26" s="23"/>
      <c r="AD26" s="111"/>
      <c r="AE26" s="34"/>
      <c r="AF26" s="76"/>
      <c r="AG26" s="667"/>
      <c r="AH26" s="41"/>
    </row>
    <row r="27" spans="1:35">
      <c r="A27" s="36"/>
      <c r="B27" s="83"/>
      <c r="C27" s="12"/>
      <c r="D27" s="23"/>
      <c r="E27" s="12"/>
      <c r="F27" s="12"/>
      <c r="G27" s="12"/>
      <c r="H27" s="12"/>
      <c r="I27" s="12"/>
      <c r="J27" s="12"/>
      <c r="K27" s="23"/>
      <c r="L27" s="23"/>
      <c r="M27" s="109"/>
      <c r="N27" s="41"/>
      <c r="O27" s="41"/>
      <c r="P27" s="136"/>
      <c r="Q27" s="136"/>
      <c r="R27" s="23"/>
      <c r="S27" s="109"/>
      <c r="T27" s="23"/>
      <c r="U27" s="41"/>
      <c r="V27" s="109"/>
      <c r="W27" s="41"/>
      <c r="X27" s="109"/>
      <c r="Y27" s="41"/>
      <c r="Z27" s="136"/>
      <c r="AA27" s="136"/>
      <c r="AB27" s="109"/>
      <c r="AC27" s="23"/>
      <c r="AD27" s="109"/>
      <c r="AE27" s="41"/>
      <c r="AF27" s="76"/>
      <c r="AG27" s="136"/>
      <c r="AH27" s="41"/>
    </row>
    <row r="28" spans="1:35">
      <c r="A28" s="36"/>
      <c r="B28" s="83"/>
      <c r="C28" s="12"/>
      <c r="D28" s="33"/>
      <c r="E28" s="12"/>
      <c r="F28" s="12"/>
      <c r="G28" s="12"/>
      <c r="H28" s="12"/>
      <c r="I28" s="12"/>
      <c r="J28" s="12"/>
      <c r="K28" s="33"/>
      <c r="L28" s="33"/>
      <c r="M28" s="111"/>
      <c r="N28" s="34"/>
      <c r="O28" s="34"/>
      <c r="P28" s="667"/>
      <c r="Q28" s="667"/>
      <c r="R28" s="33"/>
      <c r="S28" s="111"/>
      <c r="T28" s="33"/>
      <c r="U28" s="34"/>
      <c r="V28" s="111"/>
      <c r="W28" s="34"/>
      <c r="X28" s="111"/>
      <c r="Y28" s="34"/>
      <c r="Z28" s="667"/>
      <c r="AA28" s="667"/>
      <c r="AB28" s="111"/>
      <c r="AC28" s="33"/>
      <c r="AD28" s="111"/>
      <c r="AE28" s="34"/>
      <c r="AF28" s="76"/>
      <c r="AG28" s="667"/>
      <c r="AH28" s="34"/>
    </row>
    <row r="29" spans="1:35" ht="13.5" thickBot="1">
      <c r="A29" s="39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15"/>
      <c r="N29" s="80"/>
      <c r="O29" s="80"/>
      <c r="P29" s="128"/>
      <c r="Q29" s="128"/>
      <c r="R29" s="28"/>
      <c r="S29" s="15"/>
      <c r="T29" s="16"/>
      <c r="U29" s="17"/>
      <c r="V29" s="15"/>
      <c r="W29" s="17"/>
      <c r="X29" s="681"/>
      <c r="Y29" s="682"/>
      <c r="Z29" s="683"/>
      <c r="AA29" s="137"/>
      <c r="AB29" s="684"/>
      <c r="AC29" s="173"/>
      <c r="AD29" s="110"/>
      <c r="AE29" s="17"/>
      <c r="AF29" s="80"/>
      <c r="AG29" s="137"/>
      <c r="AH29" s="17"/>
    </row>
    <row r="30" spans="1:35">
      <c r="A30" s="246"/>
      <c r="B30" s="244"/>
      <c r="C30" s="244"/>
      <c r="D30" s="244"/>
      <c r="E30" s="244"/>
      <c r="F30" s="244"/>
      <c r="G30" s="244"/>
      <c r="H30" s="244"/>
      <c r="I30" s="244"/>
      <c r="J30" s="244"/>
      <c r="K30" s="244"/>
      <c r="L30" s="244"/>
      <c r="M30" s="12"/>
      <c r="N30" s="12"/>
      <c r="O30" s="244"/>
      <c r="P30" s="244"/>
      <c r="Q30" s="244"/>
      <c r="R30" s="244"/>
      <c r="S30" s="244"/>
      <c r="T30" s="305"/>
      <c r="U30" s="305"/>
      <c r="V30" s="244"/>
      <c r="W30" s="305"/>
      <c r="X30" s="305"/>
      <c r="Y30" s="305"/>
      <c r="Z30" s="305"/>
      <c r="AA30" s="305"/>
      <c r="AB30" s="305"/>
      <c r="AC30" s="305"/>
      <c r="AD30" s="305"/>
      <c r="AE30" s="305"/>
      <c r="AF30" s="305"/>
      <c r="AG30" s="305"/>
      <c r="AH30" s="261"/>
    </row>
    <row r="31" spans="1:35">
      <c r="A31" s="651"/>
      <c r="B31" s="82" t="s">
        <v>429</v>
      </c>
      <c r="C31" s="12"/>
      <c r="D31" s="23"/>
      <c r="E31" s="12"/>
      <c r="F31" s="12"/>
      <c r="G31" s="12"/>
      <c r="H31" s="12"/>
      <c r="I31" s="12"/>
      <c r="J31" s="407">
        <v>41267782.876415297</v>
      </c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76"/>
    </row>
    <row r="32" spans="1:35">
      <c r="A32" s="36"/>
      <c r="B32" s="83" t="s">
        <v>430</v>
      </c>
      <c r="C32" s="12"/>
      <c r="D32" s="23"/>
      <c r="E32" s="12"/>
      <c r="F32" s="12"/>
      <c r="G32" s="12"/>
      <c r="H32" s="12"/>
      <c r="I32" s="12"/>
      <c r="J32" s="407">
        <v>551625.11388562433</v>
      </c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76"/>
    </row>
    <row r="33" spans="1:34" ht="13.5" thickBot="1">
      <c r="A33" s="150"/>
      <c r="B33" s="306" t="s">
        <v>431</v>
      </c>
      <c r="C33" s="28"/>
      <c r="D33" s="685"/>
      <c r="E33" s="28"/>
      <c r="F33" s="28"/>
      <c r="G33" s="28"/>
      <c r="H33" s="28"/>
      <c r="I33" s="28"/>
      <c r="J33" s="176">
        <f>(1+A14)*J32</f>
        <v>725142.55836370436</v>
      </c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80"/>
    </row>
    <row r="34" spans="1:34">
      <c r="A34" s="246"/>
      <c r="B34" s="244"/>
      <c r="C34" s="244"/>
      <c r="D34" s="244"/>
      <c r="E34" s="244"/>
      <c r="F34" s="244"/>
      <c r="G34" s="244"/>
      <c r="H34" s="244"/>
      <c r="I34" s="244"/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/>
      <c r="AF34" s="244"/>
      <c r="AG34" s="244"/>
      <c r="AH34" s="420"/>
    </row>
    <row r="35" spans="1:34">
      <c r="A35" s="29" t="s">
        <v>307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76"/>
    </row>
    <row r="36" spans="1:34">
      <c r="A36" s="11"/>
      <c r="B36" s="421" t="s">
        <v>432</v>
      </c>
      <c r="C36" s="12"/>
      <c r="D36" s="12"/>
      <c r="E36" s="12"/>
      <c r="F36" s="85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76"/>
    </row>
    <row r="37" spans="1:34">
      <c r="A37" s="11"/>
      <c r="B37" s="421" t="s">
        <v>433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76"/>
    </row>
    <row r="38" spans="1:34">
      <c r="A38" s="11"/>
      <c r="B38" s="421" t="s">
        <v>434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76"/>
    </row>
    <row r="39" spans="1:34" ht="13.5" thickBot="1">
      <c r="A39" s="15"/>
      <c r="B39" s="438" t="s">
        <v>305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80"/>
    </row>
    <row r="50" spans="13:13">
      <c r="M50" s="168"/>
    </row>
  </sheetData>
  <mergeCells count="11">
    <mergeCell ref="AD3:AE3"/>
    <mergeCell ref="A1:AH1"/>
    <mergeCell ref="B2:L2"/>
    <mergeCell ref="M2:R2"/>
    <mergeCell ref="S2:AA2"/>
    <mergeCell ref="AB2:AF2"/>
    <mergeCell ref="M3:N3"/>
    <mergeCell ref="S3:U3"/>
    <mergeCell ref="V3:W3"/>
    <mergeCell ref="X3:Y3"/>
    <mergeCell ref="AB3:AC3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2" manualBreakCount="2">
    <brk id="21" max="38" man="1"/>
    <brk id="27" max="38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32C48-7B2C-4BE7-83D7-53DC932FCE39}">
  <sheetPr>
    <tabColor theme="9"/>
    <pageSetUpPr fitToPage="1"/>
  </sheetPr>
  <dimension ref="A1:L58"/>
  <sheetViews>
    <sheetView zoomScaleNormal="100" workbookViewId="0">
      <selection activeCell="L35" sqref="L35"/>
    </sheetView>
  </sheetViews>
  <sheetFormatPr defaultRowHeight="12.75"/>
  <cols>
    <col min="1" max="1" width="40.7109375" customWidth="1"/>
    <col min="2" max="2" width="10.28515625" customWidth="1"/>
    <col min="3" max="4" width="10.28515625" style="12" customWidth="1"/>
    <col min="5" max="6" width="9.28515625" style="12" customWidth="1"/>
    <col min="7" max="7" width="10.28515625" style="12" customWidth="1"/>
    <col min="8" max="10" width="10.28515625" customWidth="1"/>
  </cols>
  <sheetData>
    <row r="1" spans="1:10" ht="18.75" thickBot="1">
      <c r="A1" s="741" t="s">
        <v>409</v>
      </c>
      <c r="B1" s="741"/>
      <c r="C1" s="741"/>
      <c r="D1" s="741"/>
      <c r="E1" s="741"/>
      <c r="F1" s="741"/>
      <c r="G1" s="741"/>
      <c r="H1" s="741"/>
      <c r="I1" s="741"/>
      <c r="J1" s="741"/>
    </row>
    <row r="2" spans="1:10" ht="13.5" thickBot="1">
      <c r="A2" s="348"/>
      <c r="B2" s="742" t="s">
        <v>0</v>
      </c>
      <c r="C2" s="743"/>
      <c r="D2" s="744"/>
      <c r="E2" s="743" t="s">
        <v>1</v>
      </c>
      <c r="F2" s="743"/>
      <c r="G2" s="744"/>
      <c r="H2" s="743" t="s">
        <v>406</v>
      </c>
      <c r="I2" s="743"/>
      <c r="J2" s="744"/>
    </row>
    <row r="3" spans="1:10" ht="13.5" thickBot="1">
      <c r="A3" s="597" t="s">
        <v>47</v>
      </c>
      <c r="B3" s="593" t="s">
        <v>193</v>
      </c>
      <c r="C3" s="594" t="s">
        <v>141</v>
      </c>
      <c r="D3" s="595" t="s">
        <v>135</v>
      </c>
      <c r="E3" s="594" t="s">
        <v>193</v>
      </c>
      <c r="F3" s="594" t="s">
        <v>141</v>
      </c>
      <c r="G3" s="595" t="s">
        <v>136</v>
      </c>
      <c r="H3" s="594" t="s">
        <v>193</v>
      </c>
      <c r="I3" s="594" t="s">
        <v>141</v>
      </c>
      <c r="J3" s="595" t="s">
        <v>2</v>
      </c>
    </row>
    <row r="4" spans="1:10">
      <c r="A4" s="35"/>
      <c r="B4" s="5"/>
      <c r="C4" s="6"/>
      <c r="D4" s="7"/>
      <c r="E4" s="6"/>
      <c r="F4" s="6"/>
      <c r="G4" s="6"/>
      <c r="H4" s="5"/>
      <c r="I4" s="6"/>
      <c r="J4" s="7"/>
    </row>
    <row r="5" spans="1:10">
      <c r="A5" s="36"/>
      <c r="B5" s="104"/>
      <c r="C5" s="8"/>
      <c r="D5" s="9"/>
      <c r="E5" s="8"/>
      <c r="F5" s="8"/>
      <c r="G5" s="8"/>
      <c r="H5" s="104"/>
      <c r="I5" s="8"/>
      <c r="J5" s="9"/>
    </row>
    <row r="6" spans="1:10">
      <c r="A6" s="36" t="s">
        <v>49</v>
      </c>
      <c r="B6" s="114"/>
      <c r="C6" s="30"/>
      <c r="D6" s="40"/>
      <c r="E6" s="30"/>
      <c r="F6" s="30"/>
      <c r="G6" s="30"/>
      <c r="H6" s="114"/>
      <c r="I6" s="30"/>
      <c r="J6" s="40"/>
    </row>
    <row r="7" spans="1:10">
      <c r="A7" s="37"/>
      <c r="B7" s="114"/>
      <c r="C7" s="30"/>
      <c r="D7" s="40"/>
      <c r="E7" s="30"/>
      <c r="F7" s="30"/>
      <c r="G7" s="30"/>
      <c r="H7" s="114"/>
      <c r="I7" s="30"/>
      <c r="J7" s="40"/>
    </row>
    <row r="8" spans="1:10">
      <c r="A8" s="36" t="s">
        <v>53</v>
      </c>
      <c r="B8" s="115">
        <f>'School Class TSM Summary '!B8*Inputs!$C$12</f>
        <v>3117.8539777116753</v>
      </c>
      <c r="C8" s="134">
        <f>'School Class TSM Summary '!C8*Inputs!$C$12</f>
        <v>13606.123181662033</v>
      </c>
      <c r="D8" s="44">
        <f>'School Class TSM Summary '!D8*Inputs!$C$12</f>
        <v>9247.7993698727696</v>
      </c>
      <c r="E8" s="134"/>
      <c r="F8" s="134">
        <f>'School Class TSM Summary '!F8*Inputs!$C$12</f>
        <v>0</v>
      </c>
      <c r="G8" s="134">
        <f>'School Class TSM Summary '!G8*Inputs!$C$12</f>
        <v>0</v>
      </c>
      <c r="H8" s="115">
        <f>'School Class TSM Summary '!H8*Inputs!$C$12</f>
        <v>3117.8539777116753</v>
      </c>
      <c r="I8" s="134">
        <f>'School Class TSM Summary '!I8*Inputs!$C$12</f>
        <v>12777.680180921001</v>
      </c>
      <c r="J8" s="44">
        <f>'School Class TSM Summary '!J8*Inputs!$C$12</f>
        <v>8910.1631305024166</v>
      </c>
    </row>
    <row r="9" spans="1:10">
      <c r="A9" s="36" t="s">
        <v>51</v>
      </c>
      <c r="B9" s="115">
        <f>'School Class TSM Summary '!B9*Inputs!$C$12</f>
        <v>537.37859769304339</v>
      </c>
      <c r="C9" s="134">
        <f>'School Class TSM Summary '!C9*Inputs!$C$12</f>
        <v>2742.8329690831247</v>
      </c>
      <c r="D9" s="44">
        <f>'School Class TSM Summary '!D9*Inputs!$C$12</f>
        <v>1826.372482063611</v>
      </c>
      <c r="E9" s="134"/>
      <c r="F9" s="134">
        <f>'School Class TSM Summary '!F9*Inputs!$C$12</f>
        <v>3396.422044371343</v>
      </c>
      <c r="G9" s="134">
        <f>'School Class TSM Summary '!G9*Inputs!$C$12</f>
        <v>3396.422044371343</v>
      </c>
      <c r="H9" s="115">
        <f>'School Class TSM Summary '!H9*Inputs!$C$12</f>
        <v>537.37859769304339</v>
      </c>
      <c r="I9" s="134">
        <f>'School Class TSM Summary '!I9*Inputs!$C$12</f>
        <v>2782.6283823359677</v>
      </c>
      <c r="J9" s="44">
        <f>'School Class TSM Summary '!J9*Inputs!$C$12</f>
        <v>1883.6948361330146</v>
      </c>
    </row>
    <row r="10" spans="1:10">
      <c r="A10" s="36" t="s">
        <v>52</v>
      </c>
      <c r="B10" s="115">
        <f>'School Class TSM Summary '!B10*Inputs!$C$12</f>
        <v>296.31268379955168</v>
      </c>
      <c r="C10" s="134">
        <f>'School Class TSM Summary '!C10*Inputs!$C$12</f>
        <v>714.47040832882931</v>
      </c>
      <c r="D10" s="44">
        <f>'School Class TSM Summary '!D10*Inputs!$C$12</f>
        <v>540.70801412815968</v>
      </c>
      <c r="E10" s="134"/>
      <c r="F10" s="134">
        <f>'School Class TSM Summary '!F10*Inputs!$C$12</f>
        <v>1032.6567340258405</v>
      </c>
      <c r="G10" s="134">
        <f>'School Class TSM Summary '!G10*Inputs!$C$12</f>
        <v>1032.6567340258405</v>
      </c>
      <c r="H10" s="115">
        <f>'School Class TSM Summary '!H10*Inputs!$C$12</f>
        <v>296.31268379955168</v>
      </c>
      <c r="I10" s="134">
        <f>'School Class TSM Summary '!I10*Inputs!$C$12</f>
        <v>733.84398233927686</v>
      </c>
      <c r="J10" s="44">
        <f>'School Class TSM Summary '!J10*Inputs!$C$12</f>
        <v>558.66901318382997</v>
      </c>
    </row>
    <row r="11" spans="1:10">
      <c r="A11" s="38"/>
      <c r="B11" s="114"/>
      <c r="C11" s="30"/>
      <c r="D11" s="40"/>
      <c r="E11" s="30"/>
      <c r="F11" s="30"/>
      <c r="G11" s="30"/>
      <c r="H11" s="114"/>
      <c r="I11" s="30"/>
      <c r="J11" s="40"/>
    </row>
    <row r="12" spans="1:10">
      <c r="A12" s="36" t="s">
        <v>35</v>
      </c>
      <c r="B12" s="114">
        <f t="shared" ref="B12:D12" si="0">SUM(B8:B10)</f>
        <v>3951.5452592042702</v>
      </c>
      <c r="C12" s="30">
        <f t="shared" si="0"/>
        <v>17063.426559073989</v>
      </c>
      <c r="D12" s="40">
        <f t="shared" si="0"/>
        <v>11614.879866064541</v>
      </c>
      <c r="E12" s="30"/>
      <c r="F12" s="30">
        <f t="shared" ref="F12:J12" si="1">SUM(F8:F10)</f>
        <v>4429.0787783971837</v>
      </c>
      <c r="G12" s="40">
        <f t="shared" si="1"/>
        <v>4429.0787783971837</v>
      </c>
      <c r="H12" s="114">
        <f t="shared" si="1"/>
        <v>3951.5452592042702</v>
      </c>
      <c r="I12" s="30">
        <f t="shared" si="1"/>
        <v>16294.152545596246</v>
      </c>
      <c r="J12" s="40">
        <f t="shared" si="1"/>
        <v>11352.52697981926</v>
      </c>
    </row>
    <row r="13" spans="1:10">
      <c r="A13" s="38"/>
      <c r="B13" s="114"/>
      <c r="C13" s="30"/>
      <c r="D13" s="40"/>
      <c r="E13" s="30"/>
      <c r="F13" s="30"/>
      <c r="G13" s="40"/>
      <c r="H13" s="114"/>
      <c r="I13" s="30"/>
      <c r="J13" s="40"/>
    </row>
    <row r="14" spans="1:10">
      <c r="A14" s="36" t="s">
        <v>61</v>
      </c>
      <c r="B14" s="114"/>
      <c r="C14" s="30"/>
      <c r="D14" s="40"/>
      <c r="E14" s="30"/>
      <c r="F14" s="30"/>
      <c r="G14" s="40"/>
      <c r="H14" s="114"/>
      <c r="I14" s="30"/>
      <c r="J14" s="40"/>
    </row>
    <row r="15" spans="1:10">
      <c r="A15" s="47">
        <f>Inputs!C3</f>
        <v>2.7723662892949787E-2</v>
      </c>
      <c r="B15" s="114"/>
      <c r="C15" s="30"/>
      <c r="D15" s="40"/>
      <c r="E15" s="30"/>
      <c r="F15" s="30"/>
      <c r="G15" s="40"/>
      <c r="H15" s="114"/>
      <c r="I15" s="30"/>
      <c r="J15" s="40"/>
    </row>
    <row r="16" spans="1:10">
      <c r="A16" s="36" t="s">
        <v>60</v>
      </c>
      <c r="B16" s="114"/>
      <c r="C16" s="30"/>
      <c r="D16" s="40"/>
      <c r="E16" s="30"/>
      <c r="F16" s="30"/>
      <c r="G16" s="40"/>
      <c r="H16" s="114"/>
      <c r="I16" s="30"/>
      <c r="J16" s="40"/>
    </row>
    <row r="17" spans="1:10">
      <c r="A17" s="47">
        <f>Inputs!C4</f>
        <v>1.5023E-2</v>
      </c>
      <c r="B17" s="114"/>
      <c r="C17" s="30"/>
      <c r="D17" s="40"/>
      <c r="E17" s="30"/>
      <c r="F17" s="30"/>
      <c r="G17" s="40"/>
      <c r="H17" s="114"/>
      <c r="I17" s="30"/>
      <c r="J17" s="40"/>
    </row>
    <row r="18" spans="1:10">
      <c r="A18" s="94" t="s">
        <v>97</v>
      </c>
      <c r="B18" s="114">
        <f t="shared" ref="B18:D20" si="2">(B8*(1+$A$15)*(1+$A$17))</f>
        <v>3252.4303937174222</v>
      </c>
      <c r="C18" s="30">
        <f t="shared" si="2"/>
        <v>14193.406392040179</v>
      </c>
      <c r="D18" s="40">
        <f t="shared" si="2"/>
        <v>9646.9635719278958</v>
      </c>
      <c r="E18" s="30"/>
      <c r="F18" s="30">
        <f t="shared" ref="F18:J18" si="3">(F8*(1+$A$15)*(1+$A$17))</f>
        <v>0</v>
      </c>
      <c r="G18" s="40">
        <f t="shared" si="3"/>
        <v>0</v>
      </c>
      <c r="H18" s="114">
        <f t="shared" si="3"/>
        <v>3252.4303937174222</v>
      </c>
      <c r="I18" s="30">
        <f t="shared" si="3"/>
        <v>13329.205177251355</v>
      </c>
      <c r="J18" s="40">
        <f t="shared" si="3"/>
        <v>9294.7538870617173</v>
      </c>
    </row>
    <row r="19" spans="1:10">
      <c r="A19" s="94" t="s">
        <v>51</v>
      </c>
      <c r="B19" s="114">
        <f t="shared" si="2"/>
        <v>560.57355365721003</v>
      </c>
      <c r="C19" s="30">
        <f t="shared" si="2"/>
        <v>2861.2222949849493</v>
      </c>
      <c r="D19" s="40">
        <f t="shared" si="2"/>
        <v>1905.2044814723947</v>
      </c>
      <c r="E19" s="30"/>
      <c r="F19" s="30">
        <f t="shared" ref="F19:J19" si="4">(F9*(1+$A$15)*(1+$A$17))</f>
        <v>3543.0223371502484</v>
      </c>
      <c r="G19" s="40">
        <f t="shared" si="4"/>
        <v>3543.0223371502484</v>
      </c>
      <c r="H19" s="114">
        <f t="shared" si="4"/>
        <v>560.57355365721003</v>
      </c>
      <c r="I19" s="30">
        <f t="shared" si="4"/>
        <v>2902.7354038474391</v>
      </c>
      <c r="J19" s="40">
        <f t="shared" si="4"/>
        <v>1965.0010492230094</v>
      </c>
    </row>
    <row r="20" spans="1:10">
      <c r="A20" s="94" t="s">
        <v>52</v>
      </c>
      <c r="B20" s="114">
        <f t="shared" si="2"/>
        <v>309.10247424126283</v>
      </c>
      <c r="C20" s="30">
        <f t="shared" si="2"/>
        <v>745.30920564980761</v>
      </c>
      <c r="D20" s="40">
        <f t="shared" si="2"/>
        <v>564.04667821157489</v>
      </c>
      <c r="E20" s="30"/>
      <c r="F20" s="30">
        <f t="shared" ref="F20:J20" si="5">(F10*(1+$A$15)*(1+$A$17))</f>
        <v>1077.2294571946766</v>
      </c>
      <c r="G20" s="40">
        <f t="shared" si="5"/>
        <v>1077.2294571946766</v>
      </c>
      <c r="H20" s="114">
        <f t="shared" si="5"/>
        <v>309.10247424126283</v>
      </c>
      <c r="I20" s="30">
        <f t="shared" si="5"/>
        <v>765.51900424748283</v>
      </c>
      <c r="J20" s="40">
        <f t="shared" si="5"/>
        <v>582.78293066207175</v>
      </c>
    </row>
    <row r="21" spans="1:10">
      <c r="A21" s="36"/>
      <c r="B21" s="119"/>
      <c r="C21" s="73"/>
      <c r="D21" s="75"/>
      <c r="E21" s="73"/>
      <c r="F21" s="73"/>
      <c r="G21" s="75"/>
      <c r="H21" s="119"/>
      <c r="I21" s="73"/>
      <c r="J21" s="75"/>
    </row>
    <row r="22" spans="1:10">
      <c r="A22" s="36" t="s">
        <v>35</v>
      </c>
      <c r="B22" s="119">
        <f t="shared" ref="B22:D22" si="6">B18+B19+B20</f>
        <v>4122.1064216158957</v>
      </c>
      <c r="C22" s="73">
        <f t="shared" si="6"/>
        <v>17799.937892674934</v>
      </c>
      <c r="D22" s="75">
        <f t="shared" si="6"/>
        <v>12116.214731611864</v>
      </c>
      <c r="E22" s="73"/>
      <c r="F22" s="73">
        <f t="shared" ref="F22:J22" si="7">F18+F19+F20</f>
        <v>4620.2517943449247</v>
      </c>
      <c r="G22" s="75">
        <f t="shared" si="7"/>
        <v>4620.2517943449247</v>
      </c>
      <c r="H22" s="119">
        <f t="shared" si="7"/>
        <v>4122.1064216158957</v>
      </c>
      <c r="I22" s="73">
        <f t="shared" si="7"/>
        <v>16997.459585346278</v>
      </c>
      <c r="J22" s="75">
        <f t="shared" si="7"/>
        <v>11842.537866946799</v>
      </c>
    </row>
    <row r="23" spans="1:10">
      <c r="A23" s="36"/>
      <c r="B23" s="114"/>
      <c r="C23" s="30"/>
      <c r="D23" s="40"/>
      <c r="E23" s="30"/>
      <c r="F23" s="30"/>
      <c r="G23" s="40"/>
      <c r="H23" s="114"/>
      <c r="I23" s="30"/>
      <c r="J23" s="40"/>
    </row>
    <row r="24" spans="1:10">
      <c r="A24" s="730" t="str">
        <f>'Resid TSM Sum by Rate Schedule'!A25</f>
        <v>Annualized Transformer Cost at 8.05%</v>
      </c>
      <c r="B24" s="119">
        <f>B18*Inputs!$C$5</f>
        <v>261.75124806977931</v>
      </c>
      <c r="C24" s="73">
        <f>C18*Inputs!$C$5</f>
        <v>1142.2663632262438</v>
      </c>
      <c r="D24" s="75">
        <f>D18*Inputs!$C$5</f>
        <v>776.37472577843869</v>
      </c>
      <c r="E24" s="73"/>
      <c r="F24" s="73">
        <f>F18*Inputs!$C$5</f>
        <v>0</v>
      </c>
      <c r="G24" s="75">
        <f>G18*Inputs!$C$5</f>
        <v>0</v>
      </c>
      <c r="H24" s="119">
        <f>H18*Inputs!$C$5</f>
        <v>261.75124806977931</v>
      </c>
      <c r="I24" s="73">
        <f>I18*Inputs!$C$5</f>
        <v>1072.7166053001879</v>
      </c>
      <c r="J24" s="75">
        <f>J18*Inputs!$C$5</f>
        <v>748.02936140905274</v>
      </c>
    </row>
    <row r="25" spans="1:10">
      <c r="A25" s="730" t="str">
        <f>'Resid TSM Sum by Rate Schedule'!A26</f>
        <v>Annualized Services Cost at 7.08%</v>
      </c>
      <c r="B25" s="119">
        <f>B19*Inputs!$C$6</f>
        <v>39.674626861840252</v>
      </c>
      <c r="C25" s="73">
        <f>C19*Inputs!$C$6</f>
        <v>202.50317943418742</v>
      </c>
      <c r="D25" s="75">
        <f>D19*Inputs!$C$6</f>
        <v>134.84096137747025</v>
      </c>
      <c r="E25" s="73"/>
      <c r="F25" s="73">
        <f>F19*Inputs!$C$6</f>
        <v>250.75761828671367</v>
      </c>
      <c r="G25" s="75">
        <f>G19*Inputs!$C$6</f>
        <v>250.75761828671367</v>
      </c>
      <c r="H25" s="119">
        <f>H19*Inputs!$C$6</f>
        <v>39.674626861840252</v>
      </c>
      <c r="I25" s="73">
        <f>I19*Inputs!$C$6</f>
        <v>205.44127220229788</v>
      </c>
      <c r="J25" s="75">
        <f>J19*Inputs!$C$6</f>
        <v>139.07306704433</v>
      </c>
    </row>
    <row r="26" spans="1:10" ht="15">
      <c r="A26" s="730" t="str">
        <f>'Resid TSM Sum by Rate Schedule'!A27</f>
        <v>Annualized Meter Cost at 10.78%</v>
      </c>
      <c r="B26" s="465">
        <f>B20*Inputs!$C$7</f>
        <v>33.310876133195812</v>
      </c>
      <c r="C26" s="464">
        <f>C20*Inputs!$C$7</f>
        <v>80.31932675813276</v>
      </c>
      <c r="D26" s="463">
        <f>D20*Inputs!$C$7</f>
        <v>60.785307776543689</v>
      </c>
      <c r="E26" s="464"/>
      <c r="F26" s="464">
        <f>F20*Inputs!$C$7</f>
        <v>116.08919373331715</v>
      </c>
      <c r="G26" s="463">
        <f>G20*Inputs!$C$7</f>
        <v>116.08919373331715</v>
      </c>
      <c r="H26" s="465">
        <f>H20*Inputs!$C$7</f>
        <v>33.310876133195812</v>
      </c>
      <c r="I26" s="464">
        <f>I20*Inputs!$C$7</f>
        <v>82.497264995011903</v>
      </c>
      <c r="J26" s="463">
        <f>J20*Inputs!$C$7</f>
        <v>62.804447177193211</v>
      </c>
    </row>
    <row r="27" spans="1:10">
      <c r="A27" s="86" t="s">
        <v>312</v>
      </c>
      <c r="B27" s="119">
        <f>SUM(B24:B26)</f>
        <v>334.73675106481534</v>
      </c>
      <c r="C27" s="73">
        <f t="shared" ref="C27:D27" si="8">SUM(C24:C26)</f>
        <v>1425.0888694185639</v>
      </c>
      <c r="D27" s="75">
        <f t="shared" si="8"/>
        <v>972.00099493245261</v>
      </c>
      <c r="E27" s="73"/>
      <c r="F27" s="73">
        <f t="shared" ref="F27:G27" si="9">SUM(F24:F26)</f>
        <v>366.84681202003082</v>
      </c>
      <c r="G27" s="75">
        <f t="shared" si="9"/>
        <v>366.84681202003082</v>
      </c>
      <c r="H27" s="119">
        <f>SUM(H24:H26)</f>
        <v>334.73675106481534</v>
      </c>
      <c r="I27" s="73">
        <f t="shared" ref="I27:J27" si="10">SUM(I24:I26)</f>
        <v>1360.6551424974975</v>
      </c>
      <c r="J27" s="75">
        <f t="shared" si="10"/>
        <v>949.906875630576</v>
      </c>
    </row>
    <row r="28" spans="1:10">
      <c r="A28" s="47"/>
      <c r="B28" s="114"/>
      <c r="C28" s="30"/>
      <c r="D28" s="40"/>
      <c r="E28" s="30"/>
      <c r="F28" s="30"/>
      <c r="G28" s="40"/>
      <c r="H28" s="114"/>
      <c r="I28" s="30"/>
      <c r="J28" s="40"/>
    </row>
    <row r="29" spans="1:10">
      <c r="A29" s="36" t="s">
        <v>50</v>
      </c>
      <c r="B29" s="114">
        <f>'School Class TSM Summary '!B29*Inputs!$C$13</f>
        <v>129.39148295200877</v>
      </c>
      <c r="C29" s="30">
        <f>'School Class TSM Summary '!C29*Inputs!$C$13</f>
        <v>555.83515725469931</v>
      </c>
      <c r="D29" s="40">
        <f>'School Class TSM Summary '!D29*Inputs!$C$13</f>
        <v>378.62959702744126</v>
      </c>
      <c r="E29" s="30"/>
      <c r="F29" s="30">
        <f>'School Class TSM Summary '!F29*Inputs!$C$13</f>
        <v>144.38237358682341</v>
      </c>
      <c r="G29" s="40">
        <f>'School Class TSM Summary '!G29*Inputs!$C$13</f>
        <v>144.38237358682341</v>
      </c>
      <c r="H29" s="114">
        <f>'School Class TSM Summary '!H29*Inputs!$C$13</f>
        <v>129.39148295200877</v>
      </c>
      <c r="I29" s="30">
        <f>'School Class TSM Summary '!I29*Inputs!$C$13</f>
        <v>530.78282058142304</v>
      </c>
      <c r="J29" s="40">
        <f>'School Class TSM Summary '!J29*Inputs!$C$13</f>
        <v>370.07725409241868</v>
      </c>
    </row>
    <row r="30" spans="1:10" ht="15">
      <c r="A30" s="36" t="s">
        <v>379</v>
      </c>
      <c r="B30" s="552">
        <f>-Inputs!$C$18</f>
        <v>-3.0284021924274875</v>
      </c>
      <c r="C30" s="551">
        <f>-Inputs!$C$18</f>
        <v>-3.0284021924274875</v>
      </c>
      <c r="D30" s="553">
        <f>-Inputs!$C$18</f>
        <v>-3.0284021924274875</v>
      </c>
      <c r="E30" s="30"/>
      <c r="F30" s="551">
        <f>-Inputs!$C$18</f>
        <v>-3.0284021924274875</v>
      </c>
      <c r="G30" s="553">
        <f>-Inputs!$C$18</f>
        <v>-3.0284021924274875</v>
      </c>
      <c r="H30" s="552">
        <f>-Inputs!$C$18</f>
        <v>-3.0284021924274875</v>
      </c>
      <c r="I30" s="551">
        <f>-Inputs!$C$18</f>
        <v>-3.0284021924274875</v>
      </c>
      <c r="J30" s="553">
        <f>-Inputs!$C$18</f>
        <v>-3.0284021924274875</v>
      </c>
    </row>
    <row r="31" spans="1:10">
      <c r="A31" s="36" t="s">
        <v>377</v>
      </c>
      <c r="B31" s="114">
        <f>B29+B30</f>
        <v>126.36308075958128</v>
      </c>
      <c r="C31" s="30">
        <f t="shared" ref="C31:D31" si="11">C29+C30</f>
        <v>552.8067550622718</v>
      </c>
      <c r="D31" s="40">
        <f t="shared" si="11"/>
        <v>375.60119483501376</v>
      </c>
      <c r="E31" s="30"/>
      <c r="F31" s="30">
        <f t="shared" ref="F31:G31" si="12">F29+F30</f>
        <v>141.35397139439593</v>
      </c>
      <c r="G31" s="40">
        <f t="shared" si="12"/>
        <v>141.35397139439593</v>
      </c>
      <c r="H31" s="114">
        <f>H29+H30</f>
        <v>126.36308075958128</v>
      </c>
      <c r="I31" s="30">
        <f t="shared" ref="I31:J31" si="13">I29+I30</f>
        <v>527.75441838899553</v>
      </c>
      <c r="J31" s="40">
        <f t="shared" si="13"/>
        <v>367.04885189999118</v>
      </c>
    </row>
    <row r="32" spans="1:10">
      <c r="A32" s="11"/>
      <c r="B32" s="10"/>
      <c r="C32" s="27"/>
      <c r="D32" s="81"/>
      <c r="E32" s="27"/>
      <c r="F32" s="27"/>
      <c r="G32" s="81"/>
      <c r="H32" s="10"/>
      <c r="I32" s="27"/>
      <c r="J32" s="81"/>
    </row>
    <row r="33" spans="1:12">
      <c r="A33" s="36" t="s">
        <v>57</v>
      </c>
      <c r="B33" s="164">
        <f>'School Class TSM Summary '!B31*Inputs!$C$14</f>
        <v>56.765091109671744</v>
      </c>
      <c r="C33" s="165">
        <f>'School Class TSM Summary '!C31*Inputs!$C$14</f>
        <v>481.19701669211463</v>
      </c>
      <c r="D33" s="293">
        <f>'School Class TSM Summary '!D31*Inputs!$C$14</f>
        <v>304.82742398059213</v>
      </c>
      <c r="E33" s="165"/>
      <c r="F33" s="165">
        <f>'School Class TSM Summary '!F31*Inputs!$C$14</f>
        <v>481.55031066335579</v>
      </c>
      <c r="G33" s="293">
        <f>'School Class TSM Summary '!G31*Inputs!$C$14</f>
        <v>481.55031066335579</v>
      </c>
      <c r="H33" s="164">
        <f>'School Class TSM Summary '!H31*Inputs!$C$14</f>
        <v>56.765091109671744</v>
      </c>
      <c r="I33" s="165">
        <f>'School Class TSM Summary '!I31*Inputs!$C$14</f>
        <v>481.21852788334604</v>
      </c>
      <c r="J33" s="293">
        <f>'School Class TSM Summary '!J31*Inputs!$C$14</f>
        <v>311.27955907606429</v>
      </c>
    </row>
    <row r="34" spans="1:12" ht="13.5" thickBot="1">
      <c r="A34" s="11"/>
      <c r="B34" s="116"/>
      <c r="C34" s="87"/>
      <c r="D34" s="88"/>
      <c r="E34" s="87"/>
      <c r="F34" s="87"/>
      <c r="G34" s="88"/>
      <c r="H34" s="116"/>
      <c r="I34" s="87"/>
      <c r="J34" s="88"/>
    </row>
    <row r="35" spans="1:12" ht="13.5" thickBot="1">
      <c r="A35" s="281" t="s">
        <v>133</v>
      </c>
      <c r="B35" s="282">
        <f t="shared" ref="B35:D35" si="14">B27+B31+B33</f>
        <v>517.86492293406832</v>
      </c>
      <c r="C35" s="283">
        <f t="shared" si="14"/>
        <v>2459.0926411729506</v>
      </c>
      <c r="D35" s="294">
        <f t="shared" si="14"/>
        <v>1652.4296137480585</v>
      </c>
      <c r="E35" s="282"/>
      <c r="F35" s="283">
        <f t="shared" ref="F35:J35" si="15">F27+F31+F33</f>
        <v>989.75109407778245</v>
      </c>
      <c r="G35" s="294">
        <f t="shared" si="15"/>
        <v>989.75109407778245</v>
      </c>
      <c r="H35" s="282">
        <f t="shared" si="15"/>
        <v>517.86492293406832</v>
      </c>
      <c r="I35" s="283">
        <f t="shared" si="15"/>
        <v>2369.6280887698395</v>
      </c>
      <c r="J35" s="294">
        <f t="shared" si="15"/>
        <v>1628.2352866066315</v>
      </c>
      <c r="L35" s="31"/>
    </row>
    <row r="36" spans="1:12" ht="13.5" thickBot="1">
      <c r="B36" s="18"/>
      <c r="C36" s="13"/>
      <c r="D36" s="13"/>
      <c r="E36" s="13"/>
      <c r="F36" s="13"/>
      <c r="G36" s="13"/>
    </row>
    <row r="37" spans="1:12" ht="13.5" thickBot="1">
      <c r="A37" s="600" t="s">
        <v>411</v>
      </c>
      <c r="B37" s="601"/>
      <c r="C37" s="602"/>
      <c r="D37" s="602"/>
      <c r="E37" s="602"/>
      <c r="F37" s="602"/>
      <c r="G37" s="602"/>
      <c r="H37" s="602"/>
      <c r="I37" s="602"/>
      <c r="J37" s="703">
        <f>'School Class TSM Summary '!J35</f>
        <v>12.180829080183774</v>
      </c>
    </row>
    <row r="38" spans="1:12">
      <c r="A38" t="s">
        <v>3</v>
      </c>
    </row>
    <row r="46" spans="1:12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C00000"/>
  </sheetPr>
  <dimension ref="A1:CC538"/>
  <sheetViews>
    <sheetView zoomScaleNormal="100" workbookViewId="0">
      <pane xSplit="1" topLeftCell="B1" activePane="topRight" state="frozen"/>
      <selection pane="topRight" activeCell="B11" sqref="B11"/>
    </sheetView>
  </sheetViews>
  <sheetFormatPr defaultRowHeight="12.75"/>
  <cols>
    <col min="1" max="1" width="25" bestFit="1" customWidth="1"/>
    <col min="2" max="2" width="10.28515625" bestFit="1" customWidth="1"/>
    <col min="3" max="4" width="10.28515625" customWidth="1"/>
    <col min="5" max="5" width="10.140625" customWidth="1"/>
    <col min="6" max="6" width="10.28515625" bestFit="1" customWidth="1"/>
    <col min="7" max="8" width="10.140625" customWidth="1"/>
    <col min="9" max="9" width="8.7109375" bestFit="1" customWidth="1"/>
    <col min="10" max="12" width="8.7109375" customWidth="1"/>
    <col min="13" max="13" width="9.7109375" bestFit="1" customWidth="1"/>
    <col min="14" max="15" width="8.7109375" customWidth="1"/>
    <col min="16" max="16" width="8.42578125" bestFit="1" customWidth="1"/>
    <col min="17" max="19" width="7.7109375" customWidth="1"/>
    <col min="20" max="20" width="9.7109375" bestFit="1" customWidth="1"/>
    <col min="21" max="22" width="7.7109375" customWidth="1"/>
    <col min="23" max="23" width="7.7109375" bestFit="1" customWidth="1"/>
    <col min="24" max="26" width="7.7109375" customWidth="1"/>
    <col min="27" max="27" width="9.7109375" bestFit="1" customWidth="1"/>
    <col min="28" max="33" width="7.7109375" customWidth="1"/>
    <col min="34" max="34" width="9.7109375" bestFit="1" customWidth="1"/>
    <col min="35" max="35" width="7.7109375" customWidth="1"/>
    <col min="36" max="36" width="8.7109375" bestFit="1" customWidth="1"/>
    <col min="37" max="40" width="8.7109375" customWidth="1"/>
    <col min="41" max="41" width="9.7109375" bestFit="1" customWidth="1"/>
    <col min="42" max="54" width="8.7109375" customWidth="1"/>
    <col min="55" max="55" width="9.7109375" bestFit="1" customWidth="1"/>
    <col min="56" max="57" width="8.7109375" customWidth="1"/>
    <col min="58" max="58" width="8.85546875" bestFit="1" customWidth="1"/>
    <col min="59" max="61" width="8.85546875" customWidth="1"/>
    <col min="62" max="62" width="9.7109375" bestFit="1" customWidth="1"/>
    <col min="63" max="64" width="8.85546875" customWidth="1"/>
    <col min="65" max="65" width="9.42578125" bestFit="1" customWidth="1"/>
    <col min="66" max="68" width="9.42578125" customWidth="1"/>
    <col min="69" max="69" width="9.7109375" bestFit="1" customWidth="1"/>
    <col min="70" max="71" width="9.42578125" customWidth="1"/>
    <col min="72" max="72" width="10.28515625" bestFit="1" customWidth="1"/>
    <col min="73" max="75" width="9.42578125" customWidth="1"/>
    <col min="76" max="76" width="10.28515625" bestFit="1" customWidth="1"/>
    <col min="77" max="77" width="11.140625" bestFit="1" customWidth="1"/>
    <col min="78" max="78" width="10.28515625" bestFit="1" customWidth="1"/>
    <col min="80" max="80" width="10.140625" bestFit="1" customWidth="1"/>
  </cols>
  <sheetData>
    <row r="1" spans="1:78" ht="18.75" thickBot="1">
      <c r="A1" s="741" t="s">
        <v>218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  <c r="N1" s="741"/>
      <c r="O1" s="741"/>
      <c r="P1" s="741"/>
      <c r="Q1" s="741"/>
      <c r="R1" s="741"/>
      <c r="S1" s="741"/>
      <c r="T1" s="741"/>
      <c r="U1" s="741"/>
      <c r="V1" s="741"/>
      <c r="W1" s="741"/>
      <c r="X1" s="741"/>
      <c r="Y1" s="741"/>
      <c r="Z1" s="741"/>
      <c r="AA1" s="741"/>
      <c r="AB1" s="741"/>
      <c r="AC1" s="741"/>
      <c r="AD1" s="741"/>
      <c r="AE1" s="741"/>
      <c r="AF1" s="741"/>
      <c r="AG1" s="741"/>
      <c r="AH1" s="741"/>
      <c r="AI1" s="741"/>
      <c r="AJ1" s="741"/>
      <c r="AK1" s="741"/>
      <c r="AL1" s="741"/>
      <c r="AM1" s="741"/>
      <c r="AN1" s="741"/>
      <c r="AO1" s="741"/>
      <c r="AP1" s="741"/>
      <c r="AQ1" s="741"/>
      <c r="AR1" s="741"/>
      <c r="AS1" s="741"/>
      <c r="AT1" s="741"/>
      <c r="AU1" s="741"/>
      <c r="AV1" s="741"/>
      <c r="AW1" s="741"/>
      <c r="AX1" s="741"/>
      <c r="AY1" s="741"/>
      <c r="AZ1" s="741"/>
      <c r="BA1" s="741"/>
      <c r="BB1" s="741"/>
      <c r="BC1" s="741"/>
      <c r="BD1" s="741"/>
      <c r="BE1" s="741"/>
      <c r="BF1" s="741"/>
      <c r="BG1" s="741"/>
      <c r="BH1" s="741"/>
      <c r="BI1" s="741"/>
      <c r="BJ1" s="741"/>
      <c r="BK1" s="741"/>
      <c r="BL1" s="741"/>
      <c r="BM1" s="741"/>
      <c r="BN1" s="741"/>
      <c r="BO1" s="741"/>
      <c r="BP1" s="741"/>
      <c r="BQ1" s="741"/>
      <c r="BR1" s="741"/>
      <c r="BS1" s="741"/>
      <c r="BT1" s="741"/>
      <c r="BU1" s="741"/>
      <c r="BV1" s="741"/>
      <c r="BW1" s="741"/>
      <c r="BX1" s="741"/>
      <c r="BY1" s="741"/>
      <c r="BZ1" s="741"/>
    </row>
    <row r="2" spans="1:78" ht="13.5" thickBot="1">
      <c r="A2" s="103"/>
      <c r="B2" s="742" t="s">
        <v>28</v>
      </c>
      <c r="C2" s="743"/>
      <c r="D2" s="743"/>
      <c r="E2" s="743"/>
      <c r="F2" s="743"/>
      <c r="G2" s="745"/>
      <c r="H2" s="746"/>
      <c r="I2" s="742" t="s">
        <v>29</v>
      </c>
      <c r="J2" s="743"/>
      <c r="K2" s="743"/>
      <c r="L2" s="743"/>
      <c r="M2" s="743"/>
      <c r="N2" s="743"/>
      <c r="O2" s="744"/>
      <c r="P2" s="742" t="s">
        <v>30</v>
      </c>
      <c r="Q2" s="743"/>
      <c r="R2" s="743"/>
      <c r="S2" s="743"/>
      <c r="T2" s="743"/>
      <c r="U2" s="743"/>
      <c r="V2" s="744"/>
      <c r="W2" s="742" t="s">
        <v>31</v>
      </c>
      <c r="X2" s="743"/>
      <c r="Y2" s="743"/>
      <c r="Z2" s="743"/>
      <c r="AA2" s="743"/>
      <c r="AB2" s="743"/>
      <c r="AC2" s="744"/>
      <c r="AD2" s="742" t="s">
        <v>69</v>
      </c>
      <c r="AE2" s="743"/>
      <c r="AF2" s="743"/>
      <c r="AG2" s="743"/>
      <c r="AH2" s="743"/>
      <c r="AI2" s="743"/>
      <c r="AJ2" s="744"/>
      <c r="AK2" s="742" t="s">
        <v>67</v>
      </c>
      <c r="AL2" s="743"/>
      <c r="AM2" s="743"/>
      <c r="AN2" s="743"/>
      <c r="AO2" s="743"/>
      <c r="AP2" s="743"/>
      <c r="AQ2" s="744"/>
      <c r="AR2" s="742" t="s">
        <v>327</v>
      </c>
      <c r="AS2" s="743"/>
      <c r="AT2" s="743"/>
      <c r="AU2" s="743"/>
      <c r="AV2" s="743"/>
      <c r="AW2" s="743"/>
      <c r="AX2" s="744"/>
      <c r="AY2" s="742" t="s">
        <v>68</v>
      </c>
      <c r="AZ2" s="743"/>
      <c r="BA2" s="743"/>
      <c r="BB2" s="743"/>
      <c r="BC2" s="743"/>
      <c r="BD2" s="743"/>
      <c r="BE2" s="744"/>
      <c r="BF2" s="742" t="s">
        <v>94</v>
      </c>
      <c r="BG2" s="743"/>
      <c r="BH2" s="743"/>
      <c r="BI2" s="743"/>
      <c r="BJ2" s="743"/>
      <c r="BK2" s="743"/>
      <c r="BL2" s="744"/>
      <c r="BM2" s="742" t="s">
        <v>93</v>
      </c>
      <c r="BN2" s="743"/>
      <c r="BO2" s="743"/>
      <c r="BP2" s="743"/>
      <c r="BQ2" s="743"/>
      <c r="BR2" s="743"/>
      <c r="BS2" s="744"/>
      <c r="BT2" s="742" t="s">
        <v>103</v>
      </c>
      <c r="BU2" s="743"/>
      <c r="BV2" s="743"/>
      <c r="BW2" s="743"/>
      <c r="BX2" s="743"/>
      <c r="BY2" s="743"/>
      <c r="BZ2" s="744"/>
    </row>
    <row r="3" spans="1:78" ht="13.5" thickBot="1">
      <c r="A3" s="163"/>
      <c r="B3" s="742" t="s">
        <v>0</v>
      </c>
      <c r="C3" s="743"/>
      <c r="D3" s="743"/>
      <c r="E3" s="743"/>
      <c r="F3" s="743"/>
      <c r="G3" s="103"/>
      <c r="H3" s="103"/>
      <c r="I3" s="742" t="s">
        <v>0</v>
      </c>
      <c r="J3" s="743"/>
      <c r="K3" s="743"/>
      <c r="L3" s="743"/>
      <c r="M3" s="743"/>
      <c r="N3" s="266"/>
      <c r="O3" s="103"/>
      <c r="P3" s="742" t="s">
        <v>0</v>
      </c>
      <c r="Q3" s="743"/>
      <c r="R3" s="743"/>
      <c r="S3" s="743"/>
      <c r="T3" s="743"/>
      <c r="U3" s="266"/>
      <c r="V3" s="103"/>
      <c r="W3" s="742" t="s">
        <v>0</v>
      </c>
      <c r="X3" s="743"/>
      <c r="Y3" s="743"/>
      <c r="Z3" s="743"/>
      <c r="AA3" s="743"/>
      <c r="AB3" s="103"/>
      <c r="AC3" s="103"/>
      <c r="AD3" s="742" t="s">
        <v>0</v>
      </c>
      <c r="AE3" s="743"/>
      <c r="AF3" s="743"/>
      <c r="AG3" s="743"/>
      <c r="AH3" s="743"/>
      <c r="AI3" s="103"/>
      <c r="AJ3" s="103"/>
      <c r="AK3" s="742" t="s">
        <v>0</v>
      </c>
      <c r="AL3" s="743"/>
      <c r="AM3" s="743"/>
      <c r="AN3" s="743"/>
      <c r="AO3" s="743"/>
      <c r="AP3" s="103"/>
      <c r="AQ3" s="268"/>
      <c r="AR3" s="742" t="s">
        <v>0</v>
      </c>
      <c r="AS3" s="743"/>
      <c r="AT3" s="743"/>
      <c r="AU3" s="743"/>
      <c r="AV3" s="743"/>
      <c r="AW3" s="103"/>
      <c r="AX3" s="484"/>
      <c r="AY3" s="742" t="s">
        <v>0</v>
      </c>
      <c r="AZ3" s="743"/>
      <c r="BA3" s="743"/>
      <c r="BB3" s="743"/>
      <c r="BC3" s="743"/>
      <c r="BD3" s="266"/>
      <c r="BE3" s="103"/>
      <c r="BF3" s="742" t="s">
        <v>0</v>
      </c>
      <c r="BG3" s="743"/>
      <c r="BH3" s="743"/>
      <c r="BI3" s="743"/>
      <c r="BJ3" s="743"/>
      <c r="BK3" s="266"/>
      <c r="BL3" s="103"/>
      <c r="BM3" s="742" t="s">
        <v>0</v>
      </c>
      <c r="BN3" s="743"/>
      <c r="BO3" s="743"/>
      <c r="BP3" s="743"/>
      <c r="BQ3" s="743"/>
      <c r="BR3" s="266"/>
      <c r="BS3" s="103"/>
      <c r="BT3" s="742" t="s">
        <v>0</v>
      </c>
      <c r="BU3" s="743"/>
      <c r="BV3" s="743"/>
      <c r="BW3" s="743"/>
      <c r="BX3" s="743"/>
      <c r="BY3" s="103"/>
      <c r="BZ3" s="103"/>
    </row>
    <row r="4" spans="1:78">
      <c r="A4" s="163"/>
      <c r="B4" s="266" t="s">
        <v>32</v>
      </c>
      <c r="C4" s="267" t="s">
        <v>32</v>
      </c>
      <c r="D4" s="267" t="s">
        <v>33</v>
      </c>
      <c r="E4" s="267" t="s">
        <v>34</v>
      </c>
      <c r="F4" s="267"/>
      <c r="G4" s="163"/>
      <c r="H4" s="163"/>
      <c r="I4" s="266" t="s">
        <v>32</v>
      </c>
      <c r="J4" s="267" t="s">
        <v>32</v>
      </c>
      <c r="K4" s="267" t="s">
        <v>33</v>
      </c>
      <c r="L4" s="267" t="s">
        <v>34</v>
      </c>
      <c r="M4" s="267"/>
      <c r="N4" s="55"/>
      <c r="O4" s="163"/>
      <c r="P4" s="266" t="s">
        <v>32</v>
      </c>
      <c r="Q4" s="267" t="s">
        <v>32</v>
      </c>
      <c r="R4" s="267" t="s">
        <v>33</v>
      </c>
      <c r="S4" s="267" t="s">
        <v>34</v>
      </c>
      <c r="T4" s="267"/>
      <c r="U4" s="55"/>
      <c r="V4" s="163"/>
      <c r="W4" s="266" t="s">
        <v>32</v>
      </c>
      <c r="X4" s="267" t="s">
        <v>32</v>
      </c>
      <c r="Y4" s="267" t="s">
        <v>33</v>
      </c>
      <c r="Z4" s="267" t="s">
        <v>34</v>
      </c>
      <c r="AA4" s="267"/>
      <c r="AB4" s="163"/>
      <c r="AC4" s="163"/>
      <c r="AD4" s="266" t="s">
        <v>32</v>
      </c>
      <c r="AE4" s="267" t="s">
        <v>32</v>
      </c>
      <c r="AF4" s="267" t="s">
        <v>33</v>
      </c>
      <c r="AG4" s="267" t="s">
        <v>34</v>
      </c>
      <c r="AH4" s="267"/>
      <c r="AI4" s="163"/>
      <c r="AJ4" s="163"/>
      <c r="AK4" s="266" t="s">
        <v>32</v>
      </c>
      <c r="AL4" s="267" t="s">
        <v>32</v>
      </c>
      <c r="AM4" s="267" t="s">
        <v>33</v>
      </c>
      <c r="AN4" s="267" t="s">
        <v>34</v>
      </c>
      <c r="AO4" s="267"/>
      <c r="AP4" s="163"/>
      <c r="AQ4" s="204"/>
      <c r="AR4" s="485" t="s">
        <v>32</v>
      </c>
      <c r="AS4" s="483" t="s">
        <v>32</v>
      </c>
      <c r="AT4" s="483" t="s">
        <v>33</v>
      </c>
      <c r="AU4" s="483" t="s">
        <v>34</v>
      </c>
      <c r="AV4" s="483"/>
      <c r="AW4" s="163"/>
      <c r="AX4" s="350"/>
      <c r="AY4" s="266" t="s">
        <v>32</v>
      </c>
      <c r="AZ4" s="267" t="s">
        <v>32</v>
      </c>
      <c r="BA4" s="267" t="s">
        <v>33</v>
      </c>
      <c r="BB4" s="267" t="s">
        <v>34</v>
      </c>
      <c r="BC4" s="267"/>
      <c r="BD4" s="55"/>
      <c r="BE4" s="163"/>
      <c r="BF4" s="266" t="s">
        <v>32</v>
      </c>
      <c r="BG4" s="267" t="s">
        <v>32</v>
      </c>
      <c r="BH4" s="267" t="s">
        <v>33</v>
      </c>
      <c r="BI4" s="267" t="s">
        <v>34</v>
      </c>
      <c r="BJ4" s="267"/>
      <c r="BK4" s="55"/>
      <c r="BL4" s="163"/>
      <c r="BM4" s="266" t="s">
        <v>32</v>
      </c>
      <c r="BN4" s="267" t="s">
        <v>32</v>
      </c>
      <c r="BO4" s="267" t="s">
        <v>33</v>
      </c>
      <c r="BP4" s="267" t="s">
        <v>34</v>
      </c>
      <c r="BQ4" s="267"/>
      <c r="BR4" s="55"/>
      <c r="BS4" s="163"/>
      <c r="BT4" s="266" t="s">
        <v>32</v>
      </c>
      <c r="BU4" s="267" t="s">
        <v>32</v>
      </c>
      <c r="BV4" s="267" t="s">
        <v>33</v>
      </c>
      <c r="BW4" s="267" t="s">
        <v>34</v>
      </c>
      <c r="BX4" s="267"/>
      <c r="BY4" s="163"/>
      <c r="BZ4" s="163"/>
    </row>
    <row r="5" spans="1:78" ht="13.5" thickBot="1">
      <c r="A5" s="77" t="s">
        <v>4</v>
      </c>
      <c r="B5" s="74" t="s">
        <v>104</v>
      </c>
      <c r="C5" s="26" t="s">
        <v>98</v>
      </c>
      <c r="D5" s="26" t="s">
        <v>98</v>
      </c>
      <c r="E5" s="26" t="s">
        <v>98</v>
      </c>
      <c r="F5" s="26" t="s">
        <v>216</v>
      </c>
      <c r="G5" s="275" t="s">
        <v>1</v>
      </c>
      <c r="H5" s="275" t="s">
        <v>2</v>
      </c>
      <c r="I5" s="74" t="s">
        <v>104</v>
      </c>
      <c r="J5" s="26" t="s">
        <v>98</v>
      </c>
      <c r="K5" s="26" t="s">
        <v>98</v>
      </c>
      <c r="L5" s="26" t="s">
        <v>98</v>
      </c>
      <c r="M5" s="26" t="s">
        <v>216</v>
      </c>
      <c r="N5" s="74" t="s">
        <v>1</v>
      </c>
      <c r="O5" s="275" t="s">
        <v>2</v>
      </c>
      <c r="P5" s="74" t="s">
        <v>104</v>
      </c>
      <c r="Q5" s="26" t="s">
        <v>98</v>
      </c>
      <c r="R5" s="26" t="s">
        <v>98</v>
      </c>
      <c r="S5" s="26" t="s">
        <v>98</v>
      </c>
      <c r="T5" s="26" t="s">
        <v>216</v>
      </c>
      <c r="U5" s="74" t="s">
        <v>1</v>
      </c>
      <c r="V5" s="275" t="s">
        <v>2</v>
      </c>
      <c r="W5" s="74" t="s">
        <v>104</v>
      </c>
      <c r="X5" s="26" t="s">
        <v>98</v>
      </c>
      <c r="Y5" s="26" t="s">
        <v>98</v>
      </c>
      <c r="Z5" s="26" t="s">
        <v>98</v>
      </c>
      <c r="AA5" s="26" t="s">
        <v>216</v>
      </c>
      <c r="AB5" s="275" t="s">
        <v>1</v>
      </c>
      <c r="AC5" s="275" t="s">
        <v>2</v>
      </c>
      <c r="AD5" s="74" t="s">
        <v>104</v>
      </c>
      <c r="AE5" s="26" t="s">
        <v>98</v>
      </c>
      <c r="AF5" s="26" t="s">
        <v>98</v>
      </c>
      <c r="AG5" s="26" t="s">
        <v>98</v>
      </c>
      <c r="AH5" s="26" t="s">
        <v>216</v>
      </c>
      <c r="AI5" s="275" t="s">
        <v>1</v>
      </c>
      <c r="AJ5" s="275" t="s">
        <v>2</v>
      </c>
      <c r="AK5" s="74" t="s">
        <v>104</v>
      </c>
      <c r="AL5" s="26" t="s">
        <v>98</v>
      </c>
      <c r="AM5" s="26" t="s">
        <v>98</v>
      </c>
      <c r="AN5" s="26" t="s">
        <v>98</v>
      </c>
      <c r="AO5" s="26" t="s">
        <v>216</v>
      </c>
      <c r="AP5" s="275" t="s">
        <v>1</v>
      </c>
      <c r="AQ5" s="108" t="s">
        <v>2</v>
      </c>
      <c r="AR5" s="74" t="s">
        <v>104</v>
      </c>
      <c r="AS5" s="26" t="s">
        <v>98</v>
      </c>
      <c r="AT5" s="26" t="s">
        <v>98</v>
      </c>
      <c r="AU5" s="26" t="s">
        <v>98</v>
      </c>
      <c r="AV5" s="26" t="s">
        <v>216</v>
      </c>
      <c r="AW5" s="275" t="s">
        <v>1</v>
      </c>
      <c r="AX5" s="108" t="s">
        <v>2</v>
      </c>
      <c r="AY5" s="74" t="s">
        <v>104</v>
      </c>
      <c r="AZ5" s="26" t="s">
        <v>98</v>
      </c>
      <c r="BA5" s="26" t="s">
        <v>98</v>
      </c>
      <c r="BB5" s="26" t="s">
        <v>98</v>
      </c>
      <c r="BC5" s="26" t="s">
        <v>216</v>
      </c>
      <c r="BD5" s="74" t="s">
        <v>1</v>
      </c>
      <c r="BE5" s="275" t="s">
        <v>2</v>
      </c>
      <c r="BF5" s="74" t="s">
        <v>104</v>
      </c>
      <c r="BG5" s="26" t="s">
        <v>98</v>
      </c>
      <c r="BH5" s="26" t="s">
        <v>98</v>
      </c>
      <c r="BI5" s="26" t="s">
        <v>98</v>
      </c>
      <c r="BJ5" s="26" t="s">
        <v>216</v>
      </c>
      <c r="BK5" s="74" t="s">
        <v>1</v>
      </c>
      <c r="BL5" s="275" t="s">
        <v>2</v>
      </c>
      <c r="BM5" s="74" t="s">
        <v>104</v>
      </c>
      <c r="BN5" s="26" t="s">
        <v>98</v>
      </c>
      <c r="BO5" s="26" t="s">
        <v>98</v>
      </c>
      <c r="BP5" s="26" t="s">
        <v>98</v>
      </c>
      <c r="BQ5" s="26" t="s">
        <v>216</v>
      </c>
      <c r="BR5" s="74" t="s">
        <v>1</v>
      </c>
      <c r="BS5" s="275" t="s">
        <v>2</v>
      </c>
      <c r="BT5" s="74" t="s">
        <v>104</v>
      </c>
      <c r="BU5" s="26" t="s">
        <v>98</v>
      </c>
      <c r="BV5" s="26" t="s">
        <v>98</v>
      </c>
      <c r="BW5" s="26" t="s">
        <v>98</v>
      </c>
      <c r="BX5" s="26" t="s">
        <v>216</v>
      </c>
      <c r="BY5" s="275" t="s">
        <v>1</v>
      </c>
      <c r="BZ5" s="275" t="s">
        <v>2</v>
      </c>
    </row>
    <row r="6" spans="1:78">
      <c r="A6" s="105"/>
      <c r="B6" s="104" t="s">
        <v>45</v>
      </c>
      <c r="C6" s="8" t="s">
        <v>45</v>
      </c>
      <c r="D6" s="8" t="s">
        <v>45</v>
      </c>
      <c r="E6" s="8" t="s">
        <v>45</v>
      </c>
      <c r="F6" s="8" t="s">
        <v>45</v>
      </c>
      <c r="G6" s="106" t="s">
        <v>45</v>
      </c>
      <c r="H6" s="106" t="s">
        <v>45</v>
      </c>
      <c r="I6" s="6" t="s">
        <v>45</v>
      </c>
      <c r="J6" s="6" t="s">
        <v>45</v>
      </c>
      <c r="K6" s="6" t="s">
        <v>45</v>
      </c>
      <c r="L6" s="6" t="s">
        <v>45</v>
      </c>
      <c r="M6" s="6"/>
      <c r="N6" s="105" t="s">
        <v>45</v>
      </c>
      <c r="O6" s="105" t="s">
        <v>45</v>
      </c>
      <c r="P6" s="5" t="s">
        <v>45</v>
      </c>
      <c r="Q6" s="6" t="s">
        <v>45</v>
      </c>
      <c r="R6" s="6" t="s">
        <v>45</v>
      </c>
      <c r="S6" s="6" t="s">
        <v>45</v>
      </c>
      <c r="T6" s="6"/>
      <c r="U6" s="5" t="s">
        <v>45</v>
      </c>
      <c r="V6" s="105" t="s">
        <v>45</v>
      </c>
      <c r="W6" s="5" t="s">
        <v>45</v>
      </c>
      <c r="X6" s="6" t="s">
        <v>45</v>
      </c>
      <c r="Y6" s="6" t="s">
        <v>45</v>
      </c>
      <c r="Z6" s="6" t="s">
        <v>45</v>
      </c>
      <c r="AA6" s="6"/>
      <c r="AB6" s="105" t="s">
        <v>45</v>
      </c>
      <c r="AC6" s="105" t="s">
        <v>45</v>
      </c>
      <c r="AD6" s="6" t="s">
        <v>45</v>
      </c>
      <c r="AE6" s="6" t="s">
        <v>45</v>
      </c>
      <c r="AF6" s="6" t="s">
        <v>45</v>
      </c>
      <c r="AG6" s="6" t="s">
        <v>45</v>
      </c>
      <c r="AH6" s="6"/>
      <c r="AI6" s="105" t="s">
        <v>45</v>
      </c>
      <c r="AJ6" s="105" t="s">
        <v>45</v>
      </c>
      <c r="AK6" s="5" t="s">
        <v>45</v>
      </c>
      <c r="AL6" s="6" t="s">
        <v>45</v>
      </c>
      <c r="AM6" s="6" t="s">
        <v>45</v>
      </c>
      <c r="AN6" s="6" t="s">
        <v>45</v>
      </c>
      <c r="AO6" s="6"/>
      <c r="AP6" s="105" t="s">
        <v>45</v>
      </c>
      <c r="AQ6" s="7" t="s">
        <v>45</v>
      </c>
      <c r="AR6" s="5" t="s">
        <v>45</v>
      </c>
      <c r="AS6" s="6" t="s">
        <v>45</v>
      </c>
      <c r="AT6" s="6" t="s">
        <v>45</v>
      </c>
      <c r="AU6" s="6" t="s">
        <v>45</v>
      </c>
      <c r="AV6" s="6"/>
      <c r="AW6" s="105" t="s">
        <v>45</v>
      </c>
      <c r="AX6" s="7" t="s">
        <v>45</v>
      </c>
      <c r="AY6" s="5" t="s">
        <v>45</v>
      </c>
      <c r="AZ6" s="6" t="s">
        <v>45</v>
      </c>
      <c r="BA6" s="6" t="s">
        <v>45</v>
      </c>
      <c r="BB6" s="6" t="s">
        <v>45</v>
      </c>
      <c r="BC6" s="6"/>
      <c r="BD6" s="5" t="s">
        <v>45</v>
      </c>
      <c r="BE6" s="105" t="s">
        <v>45</v>
      </c>
      <c r="BF6" s="5" t="s">
        <v>45</v>
      </c>
      <c r="BG6" s="6" t="s">
        <v>45</v>
      </c>
      <c r="BH6" s="6" t="s">
        <v>45</v>
      </c>
      <c r="BI6" s="6" t="s">
        <v>45</v>
      </c>
      <c r="BJ6" s="6"/>
      <c r="BK6" s="5" t="s">
        <v>45</v>
      </c>
      <c r="BL6" s="105" t="s">
        <v>45</v>
      </c>
      <c r="BM6" s="5" t="s">
        <v>45</v>
      </c>
      <c r="BN6" s="6" t="s">
        <v>45</v>
      </c>
      <c r="BO6" s="6" t="s">
        <v>45</v>
      </c>
      <c r="BP6" s="6" t="s">
        <v>45</v>
      </c>
      <c r="BQ6" s="6" t="s">
        <v>45</v>
      </c>
      <c r="BR6" s="5" t="s">
        <v>45</v>
      </c>
      <c r="BS6" s="105" t="s">
        <v>45</v>
      </c>
      <c r="BT6" s="5" t="s">
        <v>45</v>
      </c>
      <c r="BU6" s="6" t="s">
        <v>45</v>
      </c>
      <c r="BV6" s="6" t="s">
        <v>45</v>
      </c>
      <c r="BW6" s="6" t="s">
        <v>45</v>
      </c>
      <c r="BX6" s="6"/>
      <c r="BY6" s="105" t="s">
        <v>45</v>
      </c>
      <c r="BZ6" s="105" t="s">
        <v>45</v>
      </c>
    </row>
    <row r="7" spans="1:78">
      <c r="A7" s="124"/>
      <c r="B7" s="104"/>
      <c r="C7" s="8"/>
      <c r="D7" s="8"/>
      <c r="E7" s="8"/>
      <c r="F7" s="8"/>
      <c r="G7" s="106"/>
      <c r="H7" s="106"/>
      <c r="I7" s="8"/>
      <c r="J7" s="8"/>
      <c r="K7" s="8"/>
      <c r="L7" s="8"/>
      <c r="M7" s="8"/>
      <c r="N7" s="106"/>
      <c r="O7" s="106"/>
      <c r="P7" s="104"/>
      <c r="Q7" s="8"/>
      <c r="R7" s="8"/>
      <c r="S7" s="8"/>
      <c r="T7" s="8"/>
      <c r="U7" s="104"/>
      <c r="V7" s="106"/>
      <c r="W7" s="104"/>
      <c r="X7" s="8"/>
      <c r="Y7" s="8"/>
      <c r="Z7" s="8"/>
      <c r="AA7" s="8"/>
      <c r="AB7" s="106"/>
      <c r="AC7" s="106"/>
      <c r="AD7" s="8"/>
      <c r="AE7" s="8"/>
      <c r="AF7" s="8"/>
      <c r="AG7" s="8"/>
      <c r="AH7" s="8"/>
      <c r="AI7" s="106"/>
      <c r="AJ7" s="106"/>
      <c r="AK7" s="104"/>
      <c r="AL7" s="8"/>
      <c r="AM7" s="8"/>
      <c r="AN7" s="8"/>
      <c r="AO7" s="8"/>
      <c r="AP7" s="106"/>
      <c r="AQ7" s="9"/>
      <c r="AR7" s="8"/>
      <c r="AS7" s="8"/>
      <c r="AT7" s="8"/>
      <c r="AU7" s="8"/>
      <c r="AV7" s="8"/>
      <c r="AW7" s="106"/>
      <c r="AX7" s="8"/>
      <c r="AY7" s="104"/>
      <c r="AZ7" s="8"/>
      <c r="BA7" s="8"/>
      <c r="BB7" s="8"/>
      <c r="BC7" s="8"/>
      <c r="BD7" s="104"/>
      <c r="BE7" s="106"/>
      <c r="BF7" s="104"/>
      <c r="BG7" s="8"/>
      <c r="BH7" s="8"/>
      <c r="BI7" s="8"/>
      <c r="BJ7" s="8"/>
      <c r="BK7" s="104"/>
      <c r="BL7" s="106"/>
      <c r="BM7" s="104"/>
      <c r="BN7" s="8"/>
      <c r="BO7" s="8"/>
      <c r="BP7" s="8"/>
      <c r="BQ7" s="8"/>
      <c r="BR7" s="104"/>
      <c r="BS7" s="106"/>
      <c r="BT7" s="104"/>
      <c r="BU7" s="8"/>
      <c r="BV7" s="8"/>
      <c r="BW7" s="8"/>
      <c r="BX7" s="8"/>
      <c r="BY7" s="106"/>
      <c r="BZ7" s="106"/>
    </row>
    <row r="8" spans="1:78">
      <c r="A8" s="124" t="s">
        <v>5</v>
      </c>
      <c r="B8" s="441"/>
      <c r="C8" s="442"/>
      <c r="D8" s="442"/>
      <c r="E8" s="442"/>
      <c r="F8" s="187"/>
      <c r="G8" s="443"/>
      <c r="H8" s="222"/>
      <c r="I8" s="442"/>
      <c r="J8" s="442"/>
      <c r="K8" s="442"/>
      <c r="L8" s="442"/>
      <c r="M8" s="187"/>
      <c r="N8" s="443"/>
      <c r="O8" s="222"/>
      <c r="P8" s="441"/>
      <c r="Q8" s="442"/>
      <c r="R8" s="442"/>
      <c r="S8" s="442"/>
      <c r="T8" s="187"/>
      <c r="U8" s="441"/>
      <c r="V8" s="222"/>
      <c r="W8" s="441"/>
      <c r="X8" s="442"/>
      <c r="Y8" s="442"/>
      <c r="Z8" s="442"/>
      <c r="AA8" s="187"/>
      <c r="AB8" s="441"/>
      <c r="AC8" s="222"/>
      <c r="AD8" s="442"/>
      <c r="AE8" s="442"/>
      <c r="AF8" s="442"/>
      <c r="AG8" s="442"/>
      <c r="AH8" s="187"/>
      <c r="AI8" s="222"/>
      <c r="AJ8" s="222"/>
      <c r="AK8" s="441"/>
      <c r="AL8" s="442"/>
      <c r="AM8" s="442"/>
      <c r="AN8" s="442"/>
      <c r="AO8" s="187"/>
      <c r="AP8" s="222"/>
      <c r="AQ8" s="188"/>
      <c r="AR8" s="441"/>
      <c r="AS8" s="442"/>
      <c r="AT8" s="442"/>
      <c r="AU8" s="442"/>
      <c r="AV8" s="187"/>
      <c r="AW8" s="186"/>
      <c r="AX8" s="222"/>
      <c r="AY8" s="441"/>
      <c r="AZ8" s="442"/>
      <c r="BA8" s="442"/>
      <c r="BB8" s="442"/>
      <c r="BC8" s="187"/>
      <c r="BD8" s="186"/>
      <c r="BE8" s="222"/>
      <c r="BF8" s="441"/>
      <c r="BG8" s="442"/>
      <c r="BH8" s="442"/>
      <c r="BI8" s="442"/>
      <c r="BJ8" s="187"/>
      <c r="BK8" s="186"/>
      <c r="BL8" s="222"/>
      <c r="BM8" s="441"/>
      <c r="BN8" s="442"/>
      <c r="BO8" s="442"/>
      <c r="BP8" s="442"/>
      <c r="BQ8" s="187"/>
      <c r="BR8" s="186"/>
      <c r="BS8" s="222"/>
      <c r="BT8" s="186"/>
      <c r="BU8" s="187"/>
      <c r="BV8" s="187"/>
      <c r="BW8" s="187"/>
      <c r="BX8" s="187"/>
      <c r="BY8" s="222"/>
      <c r="BZ8" s="222"/>
    </row>
    <row r="9" spans="1:78">
      <c r="A9" s="377" t="s">
        <v>6</v>
      </c>
      <c r="B9" s="441"/>
      <c r="C9" s="442"/>
      <c r="D9" s="442"/>
      <c r="E9" s="442"/>
      <c r="F9" s="187"/>
      <c r="G9" s="443"/>
      <c r="H9" s="222"/>
      <c r="I9" s="442"/>
      <c r="J9" s="442"/>
      <c r="K9" s="442"/>
      <c r="L9" s="442"/>
      <c r="M9" s="187"/>
      <c r="N9" s="443"/>
      <c r="O9" s="222"/>
      <c r="P9" s="441"/>
      <c r="Q9" s="442"/>
      <c r="R9" s="442"/>
      <c r="S9" s="442"/>
      <c r="T9" s="187"/>
      <c r="U9" s="441"/>
      <c r="V9" s="222"/>
      <c r="W9" s="441"/>
      <c r="X9" s="442"/>
      <c r="Y9" s="442"/>
      <c r="Z9" s="442"/>
      <c r="AA9" s="187"/>
      <c r="AB9" s="441"/>
      <c r="AC9" s="222"/>
      <c r="AD9" s="442"/>
      <c r="AE9" s="442"/>
      <c r="AF9" s="442"/>
      <c r="AG9" s="442"/>
      <c r="AH9" s="187"/>
      <c r="AI9" s="222"/>
      <c r="AJ9" s="222"/>
      <c r="AK9" s="441"/>
      <c r="AL9" s="442"/>
      <c r="AM9" s="442"/>
      <c r="AN9" s="442"/>
      <c r="AO9" s="187"/>
      <c r="AP9" s="222"/>
      <c r="AQ9" s="188"/>
      <c r="AR9" s="441"/>
      <c r="AS9" s="442"/>
      <c r="AT9" s="442"/>
      <c r="AU9" s="442"/>
      <c r="AV9" s="187"/>
      <c r="AW9" s="186"/>
      <c r="AX9" s="222"/>
      <c r="AY9" s="441"/>
      <c r="AZ9" s="442"/>
      <c r="BA9" s="442"/>
      <c r="BB9" s="442"/>
      <c r="BC9" s="187"/>
      <c r="BD9" s="186"/>
      <c r="BE9" s="222"/>
      <c r="BF9" s="441"/>
      <c r="BG9" s="442"/>
      <c r="BH9" s="442"/>
      <c r="BI9" s="442"/>
      <c r="BJ9" s="187"/>
      <c r="BK9" s="186"/>
      <c r="BL9" s="222"/>
      <c r="BM9" s="441"/>
      <c r="BN9" s="442"/>
      <c r="BO9" s="442"/>
      <c r="BP9" s="442"/>
      <c r="BQ9" s="187"/>
      <c r="BR9" s="186"/>
      <c r="BS9" s="222"/>
      <c r="BT9" s="186"/>
      <c r="BU9" s="187"/>
      <c r="BV9" s="187"/>
      <c r="BW9" s="187"/>
      <c r="BX9" s="187"/>
      <c r="BY9" s="222"/>
      <c r="BZ9" s="222"/>
    </row>
    <row r="10" spans="1:78">
      <c r="A10" s="124" t="s">
        <v>7</v>
      </c>
      <c r="B10" s="441"/>
      <c r="C10" s="442"/>
      <c r="D10" s="442"/>
      <c r="E10" s="442"/>
      <c r="F10" s="187"/>
      <c r="G10" s="443"/>
      <c r="H10" s="222"/>
      <c r="I10" s="442"/>
      <c r="J10" s="442"/>
      <c r="K10" s="442"/>
      <c r="L10" s="442"/>
      <c r="M10" s="187"/>
      <c r="N10" s="443"/>
      <c r="O10" s="222"/>
      <c r="P10" s="441"/>
      <c r="Q10" s="442"/>
      <c r="R10" s="442"/>
      <c r="S10" s="442"/>
      <c r="T10" s="187"/>
      <c r="U10" s="441"/>
      <c r="V10" s="222"/>
      <c r="W10" s="441"/>
      <c r="X10" s="442"/>
      <c r="Y10" s="442"/>
      <c r="Z10" s="442"/>
      <c r="AA10" s="187"/>
      <c r="AB10" s="441"/>
      <c r="AC10" s="222"/>
      <c r="AD10" s="442"/>
      <c r="AE10" s="442"/>
      <c r="AF10" s="442"/>
      <c r="AG10" s="442"/>
      <c r="AH10" s="187"/>
      <c r="AI10" s="222"/>
      <c r="AJ10" s="222"/>
      <c r="AK10" s="441"/>
      <c r="AL10" s="442"/>
      <c r="AM10" s="442"/>
      <c r="AN10" s="442"/>
      <c r="AO10" s="187"/>
      <c r="AP10" s="222"/>
      <c r="AQ10" s="188"/>
      <c r="AR10" s="441"/>
      <c r="AS10" s="442"/>
      <c r="AT10" s="442"/>
      <c r="AU10" s="442"/>
      <c r="AV10" s="187"/>
      <c r="AW10" s="186"/>
      <c r="AX10" s="222"/>
      <c r="AY10" s="441"/>
      <c r="AZ10" s="442"/>
      <c r="BA10" s="442"/>
      <c r="BB10" s="442"/>
      <c r="BC10" s="187"/>
      <c r="BD10" s="186"/>
      <c r="BE10" s="222"/>
      <c r="BF10" s="441"/>
      <c r="BG10" s="442"/>
      <c r="BH10" s="442"/>
      <c r="BI10" s="442"/>
      <c r="BJ10" s="187"/>
      <c r="BK10" s="186"/>
      <c r="BL10" s="222"/>
      <c r="BM10" s="441"/>
      <c r="BN10" s="442"/>
      <c r="BO10" s="442"/>
      <c r="BP10" s="442"/>
      <c r="BQ10" s="187"/>
      <c r="BR10" s="186"/>
      <c r="BS10" s="222"/>
      <c r="BT10" s="186"/>
      <c r="BU10" s="187"/>
      <c r="BV10" s="187"/>
      <c r="BW10" s="187"/>
      <c r="BX10" s="187"/>
      <c r="BY10" s="222"/>
      <c r="BZ10" s="222"/>
    </row>
    <row r="11" spans="1:78">
      <c r="A11" s="124" t="s">
        <v>110</v>
      </c>
      <c r="B11" s="441">
        <v>1</v>
      </c>
      <c r="C11" s="442"/>
      <c r="D11" s="442"/>
      <c r="E11" s="442"/>
      <c r="F11" s="187">
        <f t="shared" ref="F11" si="0">SUM(B11:E11)</f>
        <v>1</v>
      </c>
      <c r="G11" s="443"/>
      <c r="H11" s="222">
        <f t="shared" ref="H11" si="1">F11+G11</f>
        <v>1</v>
      </c>
      <c r="I11" s="442"/>
      <c r="J11" s="442"/>
      <c r="K11" s="442"/>
      <c r="L11" s="442"/>
      <c r="M11" s="187"/>
      <c r="N11" s="443"/>
      <c r="O11" s="222"/>
      <c r="P11" s="441"/>
      <c r="Q11" s="442"/>
      <c r="R11" s="442"/>
      <c r="S11" s="442"/>
      <c r="T11" s="187"/>
      <c r="U11" s="441"/>
      <c r="V11" s="222"/>
      <c r="W11" s="441"/>
      <c r="X11" s="442"/>
      <c r="Y11" s="442"/>
      <c r="Z11" s="442"/>
      <c r="AA11" s="187"/>
      <c r="AB11" s="441"/>
      <c r="AC11" s="222"/>
      <c r="AD11" s="442"/>
      <c r="AE11" s="442"/>
      <c r="AF11" s="442"/>
      <c r="AG11" s="442"/>
      <c r="AH11" s="187"/>
      <c r="AI11" s="222"/>
      <c r="AJ11" s="222"/>
      <c r="AK11" s="441"/>
      <c r="AL11" s="442"/>
      <c r="AM11" s="442"/>
      <c r="AN11" s="442"/>
      <c r="AO11" s="187"/>
      <c r="AP11" s="222"/>
      <c r="AQ11" s="188"/>
      <c r="AR11" s="441"/>
      <c r="AS11" s="442"/>
      <c r="AT11" s="442"/>
      <c r="AU11" s="442"/>
      <c r="AV11" s="187"/>
      <c r="AW11" s="186"/>
      <c r="AX11" s="222"/>
      <c r="AY11" s="441"/>
      <c r="AZ11" s="442"/>
      <c r="BA11" s="442"/>
      <c r="BB11" s="442"/>
      <c r="BC11" s="187"/>
      <c r="BD11" s="186"/>
      <c r="BE11" s="222"/>
      <c r="BF11" s="441"/>
      <c r="BG11" s="442"/>
      <c r="BH11" s="442"/>
      <c r="BI11" s="442"/>
      <c r="BJ11" s="187"/>
      <c r="BK11" s="186"/>
      <c r="BL11" s="222"/>
      <c r="BM11" s="441"/>
      <c r="BN11" s="442"/>
      <c r="BO11" s="442"/>
      <c r="BP11" s="442"/>
      <c r="BQ11" s="187"/>
      <c r="BR11" s="186"/>
      <c r="BS11" s="222"/>
      <c r="BT11" s="186">
        <f t="shared" ref="BT11" si="2">B11+I11+P11+W11+AD11+AK11+AR11+AY11+BF11+BM11</f>
        <v>1</v>
      </c>
      <c r="BU11" s="187"/>
      <c r="BV11" s="187"/>
      <c r="BW11" s="187"/>
      <c r="BX11" s="187">
        <f t="shared" ref="BX11" si="3">SUM(BT11:BW11)</f>
        <v>1</v>
      </c>
      <c r="BY11" s="222"/>
      <c r="BZ11" s="222">
        <f t="shared" ref="BZ11" si="4">BX11+BY11</f>
        <v>1</v>
      </c>
    </row>
    <row r="12" spans="1:78">
      <c r="A12" s="124" t="s">
        <v>102</v>
      </c>
      <c r="B12" s="441"/>
      <c r="C12" s="442"/>
      <c r="D12" s="442"/>
      <c r="E12" s="442"/>
      <c r="F12" s="187"/>
      <c r="G12" s="443"/>
      <c r="H12" s="222"/>
      <c r="I12" s="442"/>
      <c r="J12" s="442"/>
      <c r="K12" s="442"/>
      <c r="L12" s="442"/>
      <c r="M12" s="187"/>
      <c r="N12" s="443"/>
      <c r="O12" s="222"/>
      <c r="P12" s="441"/>
      <c r="Q12" s="442"/>
      <c r="R12" s="442"/>
      <c r="S12" s="442"/>
      <c r="T12" s="187"/>
      <c r="U12" s="441"/>
      <c r="V12" s="222"/>
      <c r="W12" s="441"/>
      <c r="X12" s="442"/>
      <c r="Y12" s="442"/>
      <c r="Z12" s="442"/>
      <c r="AA12" s="187"/>
      <c r="AB12" s="441"/>
      <c r="AC12" s="222"/>
      <c r="AD12" s="442"/>
      <c r="AE12" s="442"/>
      <c r="AF12" s="442"/>
      <c r="AG12" s="442"/>
      <c r="AH12" s="187"/>
      <c r="AI12" s="222"/>
      <c r="AJ12" s="222"/>
      <c r="AK12" s="441"/>
      <c r="AL12" s="442"/>
      <c r="AM12" s="442"/>
      <c r="AN12" s="442"/>
      <c r="AO12" s="187"/>
      <c r="AP12" s="222"/>
      <c r="AQ12" s="188"/>
      <c r="AR12" s="441"/>
      <c r="AS12" s="442"/>
      <c r="AT12" s="442"/>
      <c r="AU12" s="442"/>
      <c r="AV12" s="187"/>
      <c r="AW12" s="186"/>
      <c r="AX12" s="222"/>
      <c r="AY12" s="441"/>
      <c r="AZ12" s="442"/>
      <c r="BA12" s="442"/>
      <c r="BB12" s="442"/>
      <c r="BC12" s="187"/>
      <c r="BD12" s="186"/>
      <c r="BE12" s="222"/>
      <c r="BF12" s="441"/>
      <c r="BG12" s="442"/>
      <c r="BH12" s="442"/>
      <c r="BI12" s="442"/>
      <c r="BJ12" s="187"/>
      <c r="BK12" s="186"/>
      <c r="BL12" s="222"/>
      <c r="BM12" s="441"/>
      <c r="BN12" s="442"/>
      <c r="BO12" s="442"/>
      <c r="BP12" s="442"/>
      <c r="BQ12" s="187"/>
      <c r="BR12" s="186"/>
      <c r="BS12" s="222"/>
      <c r="BT12" s="186"/>
      <c r="BU12" s="187"/>
      <c r="BV12" s="187"/>
      <c r="BW12" s="187"/>
      <c r="BX12" s="187"/>
      <c r="BY12" s="222"/>
      <c r="BZ12" s="222"/>
    </row>
    <row r="13" spans="1:78">
      <c r="A13" s="124" t="s">
        <v>8</v>
      </c>
      <c r="B13" s="441"/>
      <c r="C13" s="442"/>
      <c r="D13" s="442"/>
      <c r="E13" s="442"/>
      <c r="F13" s="187"/>
      <c r="G13" s="443"/>
      <c r="H13" s="222"/>
      <c r="I13" s="442"/>
      <c r="J13" s="442"/>
      <c r="K13" s="442"/>
      <c r="L13" s="442"/>
      <c r="M13" s="187"/>
      <c r="N13" s="443"/>
      <c r="O13" s="222"/>
      <c r="P13" s="441"/>
      <c r="Q13" s="442"/>
      <c r="R13" s="442"/>
      <c r="S13" s="442"/>
      <c r="T13" s="187"/>
      <c r="U13" s="441"/>
      <c r="V13" s="222"/>
      <c r="W13" s="441"/>
      <c r="X13" s="442"/>
      <c r="Y13" s="442"/>
      <c r="Z13" s="442"/>
      <c r="AA13" s="187"/>
      <c r="AB13" s="441"/>
      <c r="AC13" s="222"/>
      <c r="AD13" s="442"/>
      <c r="AE13" s="442"/>
      <c r="AF13" s="442"/>
      <c r="AG13" s="442"/>
      <c r="AH13" s="187"/>
      <c r="AI13" s="222"/>
      <c r="AJ13" s="222"/>
      <c r="AK13" s="441"/>
      <c r="AL13" s="442"/>
      <c r="AM13" s="442"/>
      <c r="AN13" s="442"/>
      <c r="AO13" s="187"/>
      <c r="AP13" s="222"/>
      <c r="AQ13" s="188"/>
      <c r="AR13" s="441"/>
      <c r="AS13" s="442"/>
      <c r="AT13" s="442"/>
      <c r="AU13" s="442"/>
      <c r="AV13" s="187"/>
      <c r="AW13" s="186"/>
      <c r="AX13" s="222"/>
      <c r="AY13" s="441"/>
      <c r="AZ13" s="442"/>
      <c r="BA13" s="442"/>
      <c r="BB13" s="442"/>
      <c r="BC13" s="187"/>
      <c r="BD13" s="186"/>
      <c r="BE13" s="222"/>
      <c r="BF13" s="441"/>
      <c r="BG13" s="442"/>
      <c r="BH13" s="442"/>
      <c r="BI13" s="442"/>
      <c r="BJ13" s="187"/>
      <c r="BK13" s="186"/>
      <c r="BL13" s="222"/>
      <c r="BM13" s="441"/>
      <c r="BN13" s="442"/>
      <c r="BO13" s="442"/>
      <c r="BP13" s="442"/>
      <c r="BQ13" s="187"/>
      <c r="BR13" s="186"/>
      <c r="BS13" s="222"/>
      <c r="BT13" s="186"/>
      <c r="BU13" s="187"/>
      <c r="BV13" s="187"/>
      <c r="BW13" s="187"/>
      <c r="BX13" s="187"/>
      <c r="BY13" s="222"/>
      <c r="BZ13" s="222"/>
    </row>
    <row r="14" spans="1:78">
      <c r="A14" s="124" t="s">
        <v>9</v>
      </c>
      <c r="B14" s="441"/>
      <c r="C14" s="442"/>
      <c r="D14" s="442"/>
      <c r="E14" s="442"/>
      <c r="F14" s="187"/>
      <c r="G14" s="443"/>
      <c r="H14" s="222"/>
      <c r="I14" s="442"/>
      <c r="J14" s="442"/>
      <c r="K14" s="442"/>
      <c r="L14" s="442"/>
      <c r="M14" s="187"/>
      <c r="N14" s="443"/>
      <c r="O14" s="222"/>
      <c r="P14" s="441"/>
      <c r="Q14" s="442"/>
      <c r="R14" s="442"/>
      <c r="S14" s="442"/>
      <c r="T14" s="187"/>
      <c r="U14" s="441"/>
      <c r="V14" s="222"/>
      <c r="W14" s="441"/>
      <c r="X14" s="442"/>
      <c r="Y14" s="442"/>
      <c r="Z14" s="442"/>
      <c r="AA14" s="187"/>
      <c r="AB14" s="441"/>
      <c r="AC14" s="222"/>
      <c r="AD14" s="442"/>
      <c r="AE14" s="442"/>
      <c r="AF14" s="442"/>
      <c r="AG14" s="442"/>
      <c r="AH14" s="187"/>
      <c r="AI14" s="222"/>
      <c r="AJ14" s="222"/>
      <c r="AK14" s="441"/>
      <c r="AL14" s="442"/>
      <c r="AM14" s="442"/>
      <c r="AN14" s="442"/>
      <c r="AO14" s="187"/>
      <c r="AP14" s="222"/>
      <c r="AQ14" s="188"/>
      <c r="AR14" s="441"/>
      <c r="AS14" s="442"/>
      <c r="AT14" s="442"/>
      <c r="AU14" s="442"/>
      <c r="AV14" s="187"/>
      <c r="AW14" s="186"/>
      <c r="AX14" s="222"/>
      <c r="AY14" s="441"/>
      <c r="AZ14" s="442"/>
      <c r="BA14" s="442"/>
      <c r="BB14" s="442"/>
      <c r="BC14" s="187"/>
      <c r="BD14" s="186"/>
      <c r="BE14" s="222"/>
      <c r="BF14" s="441"/>
      <c r="BG14" s="442"/>
      <c r="BH14" s="442"/>
      <c r="BI14" s="442"/>
      <c r="BJ14" s="187"/>
      <c r="BK14" s="186"/>
      <c r="BL14" s="222"/>
      <c r="BM14" s="441"/>
      <c r="BN14" s="442"/>
      <c r="BO14" s="442"/>
      <c r="BP14" s="442"/>
      <c r="BQ14" s="187"/>
      <c r="BR14" s="186"/>
      <c r="BS14" s="222"/>
      <c r="BT14" s="186"/>
      <c r="BU14" s="187"/>
      <c r="BV14" s="187"/>
      <c r="BW14" s="187"/>
      <c r="BX14" s="187"/>
      <c r="BY14" s="222"/>
      <c r="BZ14" s="222"/>
    </row>
    <row r="15" spans="1:78">
      <c r="A15" s="124" t="s">
        <v>10</v>
      </c>
      <c r="B15" s="441"/>
      <c r="C15" s="442"/>
      <c r="D15" s="442"/>
      <c r="E15" s="442"/>
      <c r="F15" s="187"/>
      <c r="G15" s="443"/>
      <c r="H15" s="222"/>
      <c r="I15" s="442"/>
      <c r="J15" s="442"/>
      <c r="K15" s="442"/>
      <c r="L15" s="442"/>
      <c r="M15" s="187"/>
      <c r="N15" s="443"/>
      <c r="O15" s="222"/>
      <c r="P15" s="441"/>
      <c r="Q15" s="442"/>
      <c r="R15" s="442"/>
      <c r="S15" s="442"/>
      <c r="T15" s="187"/>
      <c r="U15" s="441"/>
      <c r="V15" s="222"/>
      <c r="W15" s="441"/>
      <c r="X15" s="442"/>
      <c r="Y15" s="442"/>
      <c r="Z15" s="442"/>
      <c r="AA15" s="187"/>
      <c r="AB15" s="441"/>
      <c r="AC15" s="222"/>
      <c r="AD15" s="442"/>
      <c r="AE15" s="442"/>
      <c r="AF15" s="442"/>
      <c r="AG15" s="442"/>
      <c r="AH15" s="187"/>
      <c r="AI15" s="222"/>
      <c r="AJ15" s="222"/>
      <c r="AK15" s="441"/>
      <c r="AL15" s="442"/>
      <c r="AM15" s="442"/>
      <c r="AN15" s="442"/>
      <c r="AO15" s="187"/>
      <c r="AP15" s="222"/>
      <c r="AQ15" s="188"/>
      <c r="AR15" s="441"/>
      <c r="AS15" s="442"/>
      <c r="AT15" s="442"/>
      <c r="AU15" s="442"/>
      <c r="AV15" s="187"/>
      <c r="AW15" s="186"/>
      <c r="AX15" s="222"/>
      <c r="AY15" s="441"/>
      <c r="AZ15" s="442"/>
      <c r="BA15" s="442"/>
      <c r="BB15" s="442"/>
      <c r="BC15" s="187"/>
      <c r="BD15" s="186"/>
      <c r="BE15" s="222"/>
      <c r="BF15" s="441"/>
      <c r="BG15" s="442"/>
      <c r="BH15" s="442"/>
      <c r="BI15" s="442"/>
      <c r="BJ15" s="187"/>
      <c r="BK15" s="186"/>
      <c r="BL15" s="222"/>
      <c r="BM15" s="441"/>
      <c r="BN15" s="442"/>
      <c r="BO15" s="442"/>
      <c r="BP15" s="442"/>
      <c r="BQ15" s="187"/>
      <c r="BR15" s="186"/>
      <c r="BS15" s="222"/>
      <c r="BT15" s="186"/>
      <c r="BU15" s="187"/>
      <c r="BV15" s="187"/>
      <c r="BW15" s="187"/>
      <c r="BX15" s="187"/>
      <c r="BY15" s="222"/>
      <c r="BZ15" s="222"/>
    </row>
    <row r="16" spans="1:78">
      <c r="A16" s="124" t="s">
        <v>11</v>
      </c>
      <c r="B16" s="441"/>
      <c r="C16" s="442"/>
      <c r="D16" s="442"/>
      <c r="E16" s="442"/>
      <c r="F16" s="187"/>
      <c r="G16" s="443"/>
      <c r="H16" s="222"/>
      <c r="I16" s="442"/>
      <c r="J16" s="442"/>
      <c r="K16" s="442"/>
      <c r="L16" s="442"/>
      <c r="M16" s="187"/>
      <c r="N16" s="443"/>
      <c r="O16" s="222"/>
      <c r="P16" s="441"/>
      <c r="Q16" s="442"/>
      <c r="R16" s="442"/>
      <c r="S16" s="442"/>
      <c r="T16" s="187"/>
      <c r="U16" s="441"/>
      <c r="V16" s="222"/>
      <c r="W16" s="441"/>
      <c r="X16" s="442"/>
      <c r="Y16" s="442"/>
      <c r="Z16" s="442"/>
      <c r="AA16" s="187"/>
      <c r="AB16" s="441"/>
      <c r="AC16" s="222"/>
      <c r="AD16" s="442"/>
      <c r="AE16" s="442"/>
      <c r="AF16" s="442"/>
      <c r="AG16" s="442"/>
      <c r="AH16" s="187"/>
      <c r="AI16" s="222"/>
      <c r="AJ16" s="222"/>
      <c r="AK16" s="441"/>
      <c r="AL16" s="442"/>
      <c r="AM16" s="442"/>
      <c r="AN16" s="442"/>
      <c r="AO16" s="187"/>
      <c r="AP16" s="222"/>
      <c r="AQ16" s="188"/>
      <c r="AR16" s="441"/>
      <c r="AS16" s="442"/>
      <c r="AT16" s="442"/>
      <c r="AU16" s="442"/>
      <c r="AV16" s="187"/>
      <c r="AW16" s="186"/>
      <c r="AX16" s="222"/>
      <c r="AY16" s="441"/>
      <c r="AZ16" s="442"/>
      <c r="BA16" s="442"/>
      <c r="BB16" s="442"/>
      <c r="BC16" s="187"/>
      <c r="BD16" s="186"/>
      <c r="BE16" s="222"/>
      <c r="BF16" s="186"/>
      <c r="BG16" s="187"/>
      <c r="BH16" s="187"/>
      <c r="BI16" s="187"/>
      <c r="BJ16" s="187"/>
      <c r="BK16" s="186"/>
      <c r="BL16" s="222"/>
      <c r="BM16" s="441"/>
      <c r="BN16" s="442"/>
      <c r="BO16" s="442"/>
      <c r="BP16" s="442"/>
      <c r="BQ16" s="187"/>
      <c r="BR16" s="186"/>
      <c r="BS16" s="222"/>
      <c r="BT16" s="186"/>
      <c r="BU16" s="187"/>
      <c r="BV16" s="187"/>
      <c r="BW16" s="187"/>
      <c r="BX16" s="187"/>
      <c r="BY16" s="222"/>
      <c r="BZ16" s="222"/>
    </row>
    <row r="17" spans="1:78">
      <c r="A17" s="124" t="s">
        <v>106</v>
      </c>
      <c r="B17" s="441"/>
      <c r="C17" s="442"/>
      <c r="D17" s="442"/>
      <c r="E17" s="442"/>
      <c r="F17" s="187"/>
      <c r="G17" s="443"/>
      <c r="H17" s="222"/>
      <c r="I17" s="442"/>
      <c r="J17" s="442"/>
      <c r="K17" s="442"/>
      <c r="L17" s="442"/>
      <c r="M17" s="187"/>
      <c r="N17" s="443"/>
      <c r="O17" s="222"/>
      <c r="P17" s="441"/>
      <c r="Q17" s="442"/>
      <c r="R17" s="442"/>
      <c r="S17" s="442"/>
      <c r="T17" s="187"/>
      <c r="U17" s="441"/>
      <c r="V17" s="222"/>
      <c r="W17" s="441"/>
      <c r="X17" s="442"/>
      <c r="Y17" s="442"/>
      <c r="Z17" s="442"/>
      <c r="AA17" s="187"/>
      <c r="AB17" s="441"/>
      <c r="AC17" s="222"/>
      <c r="AD17" s="442"/>
      <c r="AE17" s="442"/>
      <c r="AF17" s="442"/>
      <c r="AG17" s="442"/>
      <c r="AH17" s="187"/>
      <c r="AI17" s="222"/>
      <c r="AJ17" s="222"/>
      <c r="AK17" s="441"/>
      <c r="AL17" s="442"/>
      <c r="AM17" s="442"/>
      <c r="AN17" s="442"/>
      <c r="AO17" s="187"/>
      <c r="AP17" s="222"/>
      <c r="AQ17" s="188"/>
      <c r="AR17" s="441"/>
      <c r="AS17" s="442"/>
      <c r="AT17" s="442"/>
      <c r="AU17" s="442"/>
      <c r="AV17" s="187"/>
      <c r="AW17" s="186"/>
      <c r="AX17" s="222"/>
      <c r="AY17" s="441"/>
      <c r="AZ17" s="442"/>
      <c r="BA17" s="442"/>
      <c r="BB17" s="442"/>
      <c r="BC17" s="187"/>
      <c r="BD17" s="186"/>
      <c r="BE17" s="222"/>
      <c r="BF17" s="186"/>
      <c r="BG17" s="187"/>
      <c r="BH17" s="187"/>
      <c r="BI17" s="187"/>
      <c r="BJ17" s="187"/>
      <c r="BK17" s="186"/>
      <c r="BL17" s="222"/>
      <c r="BM17" s="441"/>
      <c r="BN17" s="442"/>
      <c r="BO17" s="442"/>
      <c r="BP17" s="442"/>
      <c r="BQ17" s="187"/>
      <c r="BR17" s="186"/>
      <c r="BS17" s="222"/>
      <c r="BT17" s="186"/>
      <c r="BU17" s="187"/>
      <c r="BV17" s="187"/>
      <c r="BW17" s="187"/>
      <c r="BX17" s="187"/>
      <c r="BY17" s="222"/>
      <c r="BZ17" s="222"/>
    </row>
    <row r="18" spans="1:78">
      <c r="A18" s="124" t="s">
        <v>107</v>
      </c>
      <c r="B18" s="441"/>
      <c r="C18" s="442"/>
      <c r="D18" s="442"/>
      <c r="E18" s="442"/>
      <c r="F18" s="187"/>
      <c r="G18" s="443"/>
      <c r="H18" s="222"/>
      <c r="I18" s="442"/>
      <c r="J18" s="442"/>
      <c r="K18" s="442"/>
      <c r="L18" s="442"/>
      <c r="M18" s="187"/>
      <c r="N18" s="222"/>
      <c r="O18" s="222"/>
      <c r="P18" s="441"/>
      <c r="Q18" s="442"/>
      <c r="R18" s="442"/>
      <c r="S18" s="442"/>
      <c r="T18" s="187"/>
      <c r="U18" s="441"/>
      <c r="V18" s="222"/>
      <c r="W18" s="441"/>
      <c r="X18" s="442"/>
      <c r="Y18" s="442"/>
      <c r="Z18" s="442"/>
      <c r="AA18" s="187"/>
      <c r="AB18" s="441"/>
      <c r="AC18" s="222"/>
      <c r="AD18" s="442"/>
      <c r="AE18" s="442"/>
      <c r="AF18" s="442"/>
      <c r="AG18" s="442"/>
      <c r="AH18" s="187"/>
      <c r="AI18" s="222"/>
      <c r="AJ18" s="222"/>
      <c r="AK18" s="441"/>
      <c r="AL18" s="442"/>
      <c r="AM18" s="442"/>
      <c r="AN18" s="442"/>
      <c r="AO18" s="187"/>
      <c r="AP18" s="222"/>
      <c r="AQ18" s="188"/>
      <c r="AR18" s="441"/>
      <c r="AS18" s="442"/>
      <c r="AT18" s="442"/>
      <c r="AU18" s="442"/>
      <c r="AV18" s="187"/>
      <c r="AW18" s="186"/>
      <c r="AX18" s="222"/>
      <c r="AY18" s="441"/>
      <c r="AZ18" s="442"/>
      <c r="BA18" s="442"/>
      <c r="BB18" s="442"/>
      <c r="BC18" s="187"/>
      <c r="BD18" s="186"/>
      <c r="BE18" s="222"/>
      <c r="BF18" s="186"/>
      <c r="BG18" s="187"/>
      <c r="BH18" s="187"/>
      <c r="BI18" s="187"/>
      <c r="BJ18" s="187"/>
      <c r="BK18" s="186"/>
      <c r="BL18" s="222"/>
      <c r="BM18" s="441"/>
      <c r="BN18" s="442"/>
      <c r="BO18" s="442"/>
      <c r="BP18" s="442"/>
      <c r="BQ18" s="187"/>
      <c r="BR18" s="186"/>
      <c r="BS18" s="222"/>
      <c r="BT18" s="186"/>
      <c r="BU18" s="187"/>
      <c r="BV18" s="187"/>
      <c r="BW18" s="187"/>
      <c r="BX18" s="187"/>
      <c r="BY18" s="222"/>
      <c r="BZ18" s="222"/>
    </row>
    <row r="19" spans="1:78">
      <c r="A19" s="124" t="s">
        <v>12</v>
      </c>
      <c r="B19" s="441"/>
      <c r="C19" s="442"/>
      <c r="D19" s="442"/>
      <c r="E19" s="442"/>
      <c r="F19" s="187"/>
      <c r="G19" s="443"/>
      <c r="H19" s="222"/>
      <c r="I19" s="442"/>
      <c r="J19" s="442"/>
      <c r="K19" s="442"/>
      <c r="L19" s="442"/>
      <c r="M19" s="187"/>
      <c r="N19" s="443"/>
      <c r="O19" s="222"/>
      <c r="P19" s="441"/>
      <c r="Q19" s="442"/>
      <c r="R19" s="442"/>
      <c r="S19" s="442"/>
      <c r="T19" s="187"/>
      <c r="U19" s="441"/>
      <c r="V19" s="222"/>
      <c r="W19" s="441"/>
      <c r="X19" s="442"/>
      <c r="Y19" s="442"/>
      <c r="Z19" s="442"/>
      <c r="AA19" s="187"/>
      <c r="AB19" s="441"/>
      <c r="AC19" s="222"/>
      <c r="AD19" s="442"/>
      <c r="AE19" s="442"/>
      <c r="AF19" s="442"/>
      <c r="AG19" s="442"/>
      <c r="AH19" s="187"/>
      <c r="AI19" s="222"/>
      <c r="AJ19" s="222"/>
      <c r="AK19" s="186"/>
      <c r="AL19" s="187"/>
      <c r="AM19" s="187"/>
      <c r="AN19" s="187"/>
      <c r="AO19" s="187"/>
      <c r="AP19" s="222"/>
      <c r="AQ19" s="188"/>
      <c r="AR19" s="441"/>
      <c r="AS19" s="442"/>
      <c r="AT19" s="442"/>
      <c r="AU19" s="442"/>
      <c r="AV19" s="187"/>
      <c r="AW19" s="186"/>
      <c r="AX19" s="222"/>
      <c r="AY19" s="441"/>
      <c r="AZ19" s="442"/>
      <c r="BA19" s="442"/>
      <c r="BB19" s="442"/>
      <c r="BC19" s="187"/>
      <c r="BD19" s="186"/>
      <c r="BE19" s="222"/>
      <c r="BF19" s="186"/>
      <c r="BG19" s="187"/>
      <c r="BH19" s="187"/>
      <c r="BI19" s="187"/>
      <c r="BJ19" s="187"/>
      <c r="BK19" s="186"/>
      <c r="BL19" s="222"/>
      <c r="BM19" s="441"/>
      <c r="BN19" s="442"/>
      <c r="BO19" s="442"/>
      <c r="BP19" s="442"/>
      <c r="BQ19" s="187"/>
      <c r="BR19" s="186"/>
      <c r="BS19" s="222"/>
      <c r="BT19" s="186"/>
      <c r="BU19" s="187"/>
      <c r="BV19" s="187"/>
      <c r="BW19" s="187"/>
      <c r="BX19" s="187"/>
      <c r="BY19" s="222"/>
      <c r="BZ19" s="222"/>
    </row>
    <row r="20" spans="1:78">
      <c r="A20" s="124" t="s">
        <v>13</v>
      </c>
      <c r="B20" s="441"/>
      <c r="C20" s="442"/>
      <c r="D20" s="442"/>
      <c r="E20" s="442"/>
      <c r="F20" s="187"/>
      <c r="G20" s="443"/>
      <c r="H20" s="222"/>
      <c r="I20" s="442"/>
      <c r="J20" s="442"/>
      <c r="K20" s="442"/>
      <c r="L20" s="442"/>
      <c r="M20" s="187"/>
      <c r="N20" s="222"/>
      <c r="O20" s="222"/>
      <c r="P20" s="441"/>
      <c r="Q20" s="442"/>
      <c r="R20" s="442"/>
      <c r="S20" s="442"/>
      <c r="T20" s="187"/>
      <c r="U20" s="441"/>
      <c r="V20" s="222"/>
      <c r="W20" s="441"/>
      <c r="X20" s="442"/>
      <c r="Y20" s="442"/>
      <c r="Z20" s="442"/>
      <c r="AA20" s="187"/>
      <c r="AB20" s="441"/>
      <c r="AC20" s="222"/>
      <c r="AD20" s="442"/>
      <c r="AE20" s="442"/>
      <c r="AF20" s="442"/>
      <c r="AG20" s="442"/>
      <c r="AH20" s="187"/>
      <c r="AI20" s="222"/>
      <c r="AJ20" s="222"/>
      <c r="AK20" s="186"/>
      <c r="AL20" s="187"/>
      <c r="AM20" s="187"/>
      <c r="AN20" s="187"/>
      <c r="AO20" s="187"/>
      <c r="AP20" s="222"/>
      <c r="AQ20" s="188"/>
      <c r="AR20" s="187"/>
      <c r="AS20" s="187"/>
      <c r="AT20" s="187"/>
      <c r="AU20" s="187"/>
      <c r="AV20" s="187"/>
      <c r="AW20" s="186"/>
      <c r="AX20" s="222"/>
      <c r="AY20" s="441"/>
      <c r="AZ20" s="442"/>
      <c r="BA20" s="442"/>
      <c r="BB20" s="442"/>
      <c r="BC20" s="187"/>
      <c r="BD20" s="186"/>
      <c r="BE20" s="222"/>
      <c r="BF20" s="186"/>
      <c r="BG20" s="187"/>
      <c r="BH20" s="187"/>
      <c r="BI20" s="187"/>
      <c r="BJ20" s="187"/>
      <c r="BK20" s="186"/>
      <c r="BL20" s="222"/>
      <c r="BM20" s="441"/>
      <c r="BN20" s="442"/>
      <c r="BO20" s="442"/>
      <c r="BP20" s="442"/>
      <c r="BQ20" s="187"/>
      <c r="BR20" s="186"/>
      <c r="BS20" s="222"/>
      <c r="BT20" s="186"/>
      <c r="BU20" s="187"/>
      <c r="BV20" s="187"/>
      <c r="BW20" s="187"/>
      <c r="BX20" s="187"/>
      <c r="BY20" s="222"/>
      <c r="BZ20" s="222"/>
    </row>
    <row r="21" spans="1:78">
      <c r="A21" s="124" t="s">
        <v>108</v>
      </c>
      <c r="B21" s="186"/>
      <c r="C21" s="187"/>
      <c r="D21" s="187"/>
      <c r="E21" s="187"/>
      <c r="F21" s="187"/>
      <c r="G21" s="222"/>
      <c r="H21" s="222"/>
      <c r="I21" s="442"/>
      <c r="J21" s="442"/>
      <c r="K21" s="442"/>
      <c r="L21" s="442"/>
      <c r="M21" s="187"/>
      <c r="N21" s="222"/>
      <c r="O21" s="222"/>
      <c r="P21" s="441"/>
      <c r="Q21" s="442"/>
      <c r="R21" s="442"/>
      <c r="S21" s="442"/>
      <c r="T21" s="187"/>
      <c r="U21" s="441"/>
      <c r="V21" s="222"/>
      <c r="W21" s="441"/>
      <c r="X21" s="442"/>
      <c r="Y21" s="442"/>
      <c r="Z21" s="442"/>
      <c r="AA21" s="187"/>
      <c r="AB21" s="441"/>
      <c r="AC21" s="222"/>
      <c r="AD21" s="442"/>
      <c r="AE21" s="442"/>
      <c r="AF21" s="442"/>
      <c r="AG21" s="442"/>
      <c r="AH21" s="187"/>
      <c r="AI21" s="222"/>
      <c r="AJ21" s="222"/>
      <c r="AK21" s="186"/>
      <c r="AL21" s="187"/>
      <c r="AM21" s="187"/>
      <c r="AN21" s="187"/>
      <c r="AO21" s="187"/>
      <c r="AP21" s="222"/>
      <c r="AQ21" s="188"/>
      <c r="AR21" s="187"/>
      <c r="AS21" s="187"/>
      <c r="AT21" s="187"/>
      <c r="AU21" s="187"/>
      <c r="AV21" s="187"/>
      <c r="AW21" s="186"/>
      <c r="AX21" s="222"/>
      <c r="AY21" s="441"/>
      <c r="AZ21" s="442"/>
      <c r="BA21" s="442"/>
      <c r="BB21" s="442"/>
      <c r="BC21" s="187"/>
      <c r="BD21" s="186"/>
      <c r="BE21" s="222"/>
      <c r="BF21" s="186"/>
      <c r="BG21" s="187"/>
      <c r="BH21" s="187"/>
      <c r="BI21" s="187"/>
      <c r="BJ21" s="187"/>
      <c r="BK21" s="186"/>
      <c r="BL21" s="222"/>
      <c r="BM21" s="441"/>
      <c r="BN21" s="442"/>
      <c r="BO21" s="442"/>
      <c r="BP21" s="442"/>
      <c r="BQ21" s="187"/>
      <c r="BR21" s="186"/>
      <c r="BS21" s="222"/>
      <c r="BT21" s="186"/>
      <c r="BU21" s="187"/>
      <c r="BV21" s="187"/>
      <c r="BW21" s="187"/>
      <c r="BX21" s="187"/>
      <c r="BY21" s="222"/>
      <c r="BZ21" s="222"/>
    </row>
    <row r="22" spans="1:78">
      <c r="A22" s="124" t="s">
        <v>109</v>
      </c>
      <c r="B22" s="186"/>
      <c r="C22" s="187"/>
      <c r="D22" s="187"/>
      <c r="E22" s="187"/>
      <c r="F22" s="187"/>
      <c r="G22" s="222"/>
      <c r="H22" s="222"/>
      <c r="I22" s="442"/>
      <c r="J22" s="442"/>
      <c r="K22" s="442"/>
      <c r="L22" s="442"/>
      <c r="M22" s="187"/>
      <c r="N22" s="222"/>
      <c r="O22" s="222"/>
      <c r="P22" s="441"/>
      <c r="Q22" s="442"/>
      <c r="R22" s="442"/>
      <c r="S22" s="442"/>
      <c r="T22" s="187"/>
      <c r="U22" s="186"/>
      <c r="V22" s="222"/>
      <c r="W22" s="441"/>
      <c r="X22" s="442"/>
      <c r="Y22" s="442"/>
      <c r="Z22" s="442"/>
      <c r="AA22" s="187"/>
      <c r="AB22" s="441"/>
      <c r="AC22" s="222"/>
      <c r="AD22" s="442"/>
      <c r="AE22" s="442"/>
      <c r="AF22" s="442"/>
      <c r="AG22" s="442"/>
      <c r="AH22" s="187"/>
      <c r="AI22" s="222"/>
      <c r="AJ22" s="222"/>
      <c r="AK22" s="186"/>
      <c r="AL22" s="187"/>
      <c r="AM22" s="187"/>
      <c r="AN22" s="187"/>
      <c r="AO22" s="187"/>
      <c r="AP22" s="222"/>
      <c r="AQ22" s="188"/>
      <c r="AR22" s="187"/>
      <c r="AS22" s="187"/>
      <c r="AT22" s="187"/>
      <c r="AU22" s="187"/>
      <c r="AV22" s="187"/>
      <c r="AW22" s="186"/>
      <c r="AX22" s="222"/>
      <c r="AY22" s="441"/>
      <c r="AZ22" s="442"/>
      <c r="BA22" s="442"/>
      <c r="BB22" s="442"/>
      <c r="BC22" s="187"/>
      <c r="BD22" s="186"/>
      <c r="BE22" s="222"/>
      <c r="BF22" s="186"/>
      <c r="BG22" s="187"/>
      <c r="BH22" s="187"/>
      <c r="BI22" s="187"/>
      <c r="BJ22" s="187"/>
      <c r="BK22" s="186"/>
      <c r="BL22" s="222"/>
      <c r="BM22" s="441"/>
      <c r="BN22" s="442"/>
      <c r="BO22" s="442"/>
      <c r="BP22" s="442"/>
      <c r="BQ22" s="187"/>
      <c r="BR22" s="186"/>
      <c r="BS22" s="222"/>
      <c r="BT22" s="186"/>
      <c r="BU22" s="187"/>
      <c r="BV22" s="187"/>
      <c r="BW22" s="187"/>
      <c r="BX22" s="187"/>
      <c r="BY22" s="222"/>
      <c r="BZ22" s="222"/>
    </row>
    <row r="23" spans="1:78">
      <c r="A23" s="124" t="s">
        <v>14</v>
      </c>
      <c r="B23" s="186"/>
      <c r="C23" s="187"/>
      <c r="D23" s="187"/>
      <c r="E23" s="187"/>
      <c r="F23" s="187"/>
      <c r="G23" s="222"/>
      <c r="H23" s="222"/>
      <c r="I23" s="442"/>
      <c r="J23" s="442"/>
      <c r="K23" s="442"/>
      <c r="L23" s="442"/>
      <c r="M23" s="187"/>
      <c r="N23" s="443"/>
      <c r="O23" s="222"/>
      <c r="P23" s="441"/>
      <c r="Q23" s="442"/>
      <c r="R23" s="442"/>
      <c r="S23" s="442"/>
      <c r="T23" s="187"/>
      <c r="U23" s="186"/>
      <c r="V23" s="222"/>
      <c r="W23" s="441"/>
      <c r="X23" s="442"/>
      <c r="Y23" s="442"/>
      <c r="Z23" s="442"/>
      <c r="AA23" s="187"/>
      <c r="AB23" s="441"/>
      <c r="AC23" s="222"/>
      <c r="AD23" s="442"/>
      <c r="AE23" s="442"/>
      <c r="AF23" s="442"/>
      <c r="AG23" s="442"/>
      <c r="AH23" s="187"/>
      <c r="AI23" s="222"/>
      <c r="AJ23" s="222"/>
      <c r="AK23" s="186"/>
      <c r="AL23" s="187"/>
      <c r="AM23" s="187"/>
      <c r="AN23" s="187"/>
      <c r="AO23" s="187"/>
      <c r="AP23" s="222"/>
      <c r="AQ23" s="188"/>
      <c r="AR23" s="187"/>
      <c r="AS23" s="187"/>
      <c r="AT23" s="187"/>
      <c r="AU23" s="187"/>
      <c r="AV23" s="187"/>
      <c r="AW23" s="186"/>
      <c r="AX23" s="222"/>
      <c r="AY23" s="441"/>
      <c r="AZ23" s="442"/>
      <c r="BA23" s="442"/>
      <c r="BB23" s="442"/>
      <c r="BC23" s="187"/>
      <c r="BD23" s="186"/>
      <c r="BE23" s="222"/>
      <c r="BF23" s="186"/>
      <c r="BG23" s="187"/>
      <c r="BH23" s="187"/>
      <c r="BI23" s="187"/>
      <c r="BJ23" s="187"/>
      <c r="BK23" s="186"/>
      <c r="BL23" s="222"/>
      <c r="BM23" s="441"/>
      <c r="BN23" s="442"/>
      <c r="BO23" s="442"/>
      <c r="BP23" s="442"/>
      <c r="BQ23" s="187"/>
      <c r="BR23" s="186"/>
      <c r="BS23" s="222"/>
      <c r="BT23" s="186"/>
      <c r="BU23" s="187"/>
      <c r="BV23" s="187"/>
      <c r="BW23" s="187"/>
      <c r="BX23" s="187"/>
      <c r="BY23" s="222"/>
      <c r="BZ23" s="222"/>
    </row>
    <row r="24" spans="1:78">
      <c r="A24" s="106" t="s">
        <v>15</v>
      </c>
      <c r="B24" s="186"/>
      <c r="C24" s="187"/>
      <c r="D24" s="187"/>
      <c r="E24" s="187"/>
      <c r="F24" s="187"/>
      <c r="G24" s="222"/>
      <c r="H24" s="222"/>
      <c r="I24" s="187"/>
      <c r="J24" s="187"/>
      <c r="K24" s="187"/>
      <c r="L24" s="187"/>
      <c r="M24" s="187"/>
      <c r="N24" s="222"/>
      <c r="O24" s="222"/>
      <c r="P24" s="441"/>
      <c r="Q24" s="442"/>
      <c r="R24" s="442"/>
      <c r="S24" s="442"/>
      <c r="T24" s="187"/>
      <c r="U24" s="441"/>
      <c r="V24" s="222"/>
      <c r="W24" s="441"/>
      <c r="X24" s="442"/>
      <c r="Y24" s="442"/>
      <c r="Z24" s="442"/>
      <c r="AA24" s="187"/>
      <c r="AB24" s="441"/>
      <c r="AC24" s="222"/>
      <c r="AD24" s="442"/>
      <c r="AE24" s="442"/>
      <c r="AF24" s="442"/>
      <c r="AG24" s="442"/>
      <c r="AH24" s="187"/>
      <c r="AI24" s="222"/>
      <c r="AJ24" s="222"/>
      <c r="AK24" s="186"/>
      <c r="AL24" s="187"/>
      <c r="AM24" s="187"/>
      <c r="AN24" s="187"/>
      <c r="AO24" s="187"/>
      <c r="AP24" s="222"/>
      <c r="AQ24" s="188"/>
      <c r="AR24" s="187"/>
      <c r="AS24" s="187"/>
      <c r="AT24" s="187"/>
      <c r="AU24" s="187"/>
      <c r="AV24" s="187"/>
      <c r="AW24" s="222"/>
      <c r="AX24" s="187"/>
      <c r="AY24" s="186"/>
      <c r="AZ24" s="187"/>
      <c r="BA24" s="187"/>
      <c r="BB24" s="187"/>
      <c r="BC24" s="187"/>
      <c r="BD24" s="186"/>
      <c r="BE24" s="222"/>
      <c r="BF24" s="186"/>
      <c r="BG24" s="187"/>
      <c r="BH24" s="187"/>
      <c r="BI24" s="187"/>
      <c r="BJ24" s="187"/>
      <c r="BK24" s="186"/>
      <c r="BL24" s="222"/>
      <c r="BM24" s="441"/>
      <c r="BN24" s="442"/>
      <c r="BO24" s="442"/>
      <c r="BP24" s="442"/>
      <c r="BQ24" s="187"/>
      <c r="BR24" s="186"/>
      <c r="BS24" s="222"/>
      <c r="BT24" s="186"/>
      <c r="BU24" s="187"/>
      <c r="BV24" s="187"/>
      <c r="BW24" s="187"/>
      <c r="BX24" s="187"/>
      <c r="BY24" s="222"/>
      <c r="BZ24" s="222"/>
    </row>
    <row r="25" spans="1:78">
      <c r="A25" s="124" t="s">
        <v>16</v>
      </c>
      <c r="B25" s="186"/>
      <c r="C25" s="187"/>
      <c r="D25" s="187"/>
      <c r="E25" s="187"/>
      <c r="F25" s="187"/>
      <c r="G25" s="222"/>
      <c r="H25" s="222"/>
      <c r="I25" s="187"/>
      <c r="J25" s="187"/>
      <c r="K25" s="187"/>
      <c r="L25" s="187"/>
      <c r="M25" s="187"/>
      <c r="N25" s="222"/>
      <c r="O25" s="222"/>
      <c r="P25" s="441"/>
      <c r="Q25" s="442"/>
      <c r="R25" s="442"/>
      <c r="S25" s="442"/>
      <c r="T25" s="187"/>
      <c r="U25" s="186"/>
      <c r="V25" s="222"/>
      <c r="W25" s="441"/>
      <c r="X25" s="442"/>
      <c r="Y25" s="442"/>
      <c r="Z25" s="442"/>
      <c r="AA25" s="187"/>
      <c r="AB25" s="441"/>
      <c r="AC25" s="222"/>
      <c r="AD25" s="442"/>
      <c r="AE25" s="442"/>
      <c r="AF25" s="442"/>
      <c r="AG25" s="442"/>
      <c r="AH25" s="187"/>
      <c r="AI25" s="222"/>
      <c r="AJ25" s="222"/>
      <c r="AK25" s="186"/>
      <c r="AL25" s="187"/>
      <c r="AM25" s="187"/>
      <c r="AN25" s="187"/>
      <c r="AO25" s="187"/>
      <c r="AP25" s="222"/>
      <c r="AQ25" s="188"/>
      <c r="AR25" s="187"/>
      <c r="AS25" s="187"/>
      <c r="AT25" s="187"/>
      <c r="AU25" s="187"/>
      <c r="AV25" s="187"/>
      <c r="AW25" s="222"/>
      <c r="AX25" s="187"/>
      <c r="AY25" s="186"/>
      <c r="AZ25" s="187"/>
      <c r="BA25" s="187"/>
      <c r="BB25" s="187"/>
      <c r="BC25" s="187"/>
      <c r="BD25" s="186"/>
      <c r="BE25" s="222"/>
      <c r="BF25" s="186"/>
      <c r="BG25" s="187"/>
      <c r="BH25" s="187"/>
      <c r="BI25" s="187"/>
      <c r="BJ25" s="187"/>
      <c r="BK25" s="186"/>
      <c r="BL25" s="222"/>
      <c r="BM25" s="186"/>
      <c r="BN25" s="187"/>
      <c r="BO25" s="187"/>
      <c r="BP25" s="187"/>
      <c r="BQ25" s="187"/>
      <c r="BR25" s="186"/>
      <c r="BS25" s="222"/>
      <c r="BT25" s="186"/>
      <c r="BU25" s="187"/>
      <c r="BV25" s="187"/>
      <c r="BW25" s="187"/>
      <c r="BX25" s="187"/>
      <c r="BY25" s="222"/>
      <c r="BZ25" s="222"/>
    </row>
    <row r="26" spans="1:78">
      <c r="A26" s="124" t="s">
        <v>17</v>
      </c>
      <c r="B26" s="186"/>
      <c r="C26" s="187"/>
      <c r="D26" s="187"/>
      <c r="E26" s="187"/>
      <c r="F26" s="187"/>
      <c r="G26" s="222"/>
      <c r="H26" s="222"/>
      <c r="I26" s="187"/>
      <c r="J26" s="187"/>
      <c r="K26" s="187"/>
      <c r="L26" s="187"/>
      <c r="M26" s="187"/>
      <c r="N26" s="222"/>
      <c r="O26" s="222"/>
      <c r="P26" s="441"/>
      <c r="Q26" s="442"/>
      <c r="R26" s="442"/>
      <c r="S26" s="442"/>
      <c r="T26" s="187"/>
      <c r="U26" s="186"/>
      <c r="V26" s="222"/>
      <c r="W26" s="441"/>
      <c r="X26" s="442"/>
      <c r="Y26" s="442"/>
      <c r="Z26" s="442"/>
      <c r="AA26" s="187"/>
      <c r="AB26" s="441"/>
      <c r="AC26" s="222"/>
      <c r="AD26" s="442"/>
      <c r="AE26" s="442"/>
      <c r="AF26" s="442"/>
      <c r="AG26" s="442"/>
      <c r="AH26" s="187"/>
      <c r="AI26" s="222"/>
      <c r="AJ26" s="222"/>
      <c r="AK26" s="186"/>
      <c r="AL26" s="187"/>
      <c r="AM26" s="187"/>
      <c r="AN26" s="187"/>
      <c r="AO26" s="187"/>
      <c r="AP26" s="222"/>
      <c r="AQ26" s="188"/>
      <c r="AR26" s="187"/>
      <c r="AS26" s="187"/>
      <c r="AT26" s="187"/>
      <c r="AU26" s="187"/>
      <c r="AV26" s="187"/>
      <c r="AW26" s="222"/>
      <c r="AX26" s="187"/>
      <c r="AY26" s="186"/>
      <c r="AZ26" s="187"/>
      <c r="BA26" s="187"/>
      <c r="BB26" s="187"/>
      <c r="BC26" s="187"/>
      <c r="BD26" s="186"/>
      <c r="BE26" s="222"/>
      <c r="BF26" s="186"/>
      <c r="BG26" s="187"/>
      <c r="BH26" s="187"/>
      <c r="BI26" s="187"/>
      <c r="BJ26" s="187"/>
      <c r="BK26" s="186"/>
      <c r="BL26" s="222"/>
      <c r="BM26" s="186"/>
      <c r="BN26" s="187"/>
      <c r="BO26" s="187"/>
      <c r="BP26" s="187"/>
      <c r="BQ26" s="187"/>
      <c r="BR26" s="186"/>
      <c r="BS26" s="222"/>
      <c r="BT26" s="186"/>
      <c r="BU26" s="187"/>
      <c r="BV26" s="187"/>
      <c r="BW26" s="187"/>
      <c r="BX26" s="187"/>
      <c r="BY26" s="222"/>
      <c r="BZ26" s="222"/>
    </row>
    <row r="27" spans="1:78">
      <c r="A27" s="124" t="s">
        <v>18</v>
      </c>
      <c r="B27" s="186"/>
      <c r="C27" s="187"/>
      <c r="D27" s="187"/>
      <c r="E27" s="187"/>
      <c r="F27" s="187"/>
      <c r="G27" s="222"/>
      <c r="H27" s="222"/>
      <c r="I27" s="187"/>
      <c r="J27" s="187"/>
      <c r="K27" s="187"/>
      <c r="L27" s="187"/>
      <c r="M27" s="187"/>
      <c r="N27" s="222"/>
      <c r="O27" s="222"/>
      <c r="P27" s="441"/>
      <c r="Q27" s="442"/>
      <c r="R27" s="442"/>
      <c r="S27" s="442"/>
      <c r="T27" s="187"/>
      <c r="U27" s="186"/>
      <c r="V27" s="222"/>
      <c r="W27" s="441"/>
      <c r="X27" s="442"/>
      <c r="Y27" s="442"/>
      <c r="Z27" s="442"/>
      <c r="AA27" s="187"/>
      <c r="AB27" s="441"/>
      <c r="AC27" s="222"/>
      <c r="AD27" s="442"/>
      <c r="AE27" s="442"/>
      <c r="AF27" s="442"/>
      <c r="AG27" s="442"/>
      <c r="AH27" s="187"/>
      <c r="AI27" s="222"/>
      <c r="AJ27" s="222"/>
      <c r="AK27" s="186"/>
      <c r="AL27" s="187"/>
      <c r="AM27" s="187"/>
      <c r="AN27" s="187"/>
      <c r="AO27" s="187"/>
      <c r="AP27" s="222"/>
      <c r="AQ27" s="188"/>
      <c r="AR27" s="187"/>
      <c r="AS27" s="187"/>
      <c r="AT27" s="187"/>
      <c r="AU27" s="187"/>
      <c r="AV27" s="187"/>
      <c r="AW27" s="222"/>
      <c r="AX27" s="187"/>
      <c r="AY27" s="186"/>
      <c r="AZ27" s="187"/>
      <c r="BA27" s="187"/>
      <c r="BB27" s="187"/>
      <c r="BC27" s="187"/>
      <c r="BD27" s="186"/>
      <c r="BE27" s="222"/>
      <c r="BF27" s="186"/>
      <c r="BG27" s="187"/>
      <c r="BH27" s="187"/>
      <c r="BI27" s="187"/>
      <c r="BJ27" s="187"/>
      <c r="BK27" s="186"/>
      <c r="BL27" s="222"/>
      <c r="BM27" s="186"/>
      <c r="BN27" s="187"/>
      <c r="BO27" s="187"/>
      <c r="BP27" s="187"/>
      <c r="BQ27" s="187"/>
      <c r="BR27" s="186"/>
      <c r="BS27" s="222"/>
      <c r="BT27" s="186"/>
      <c r="BU27" s="187"/>
      <c r="BV27" s="187"/>
      <c r="BW27" s="187"/>
      <c r="BX27" s="187"/>
      <c r="BY27" s="222"/>
      <c r="BZ27" s="222"/>
    </row>
    <row r="28" spans="1:78">
      <c r="A28" s="124" t="s">
        <v>19</v>
      </c>
      <c r="B28" s="186"/>
      <c r="C28" s="187"/>
      <c r="D28" s="187"/>
      <c r="E28" s="187"/>
      <c r="F28" s="187"/>
      <c r="G28" s="222"/>
      <c r="H28" s="222"/>
      <c r="I28" s="187"/>
      <c r="J28" s="187"/>
      <c r="K28" s="187"/>
      <c r="L28" s="187"/>
      <c r="M28" s="187"/>
      <c r="N28" s="222"/>
      <c r="O28" s="222"/>
      <c r="P28" s="441"/>
      <c r="Q28" s="442"/>
      <c r="R28" s="442"/>
      <c r="S28" s="442"/>
      <c r="T28" s="187"/>
      <c r="U28" s="186"/>
      <c r="V28" s="222"/>
      <c r="W28" s="441"/>
      <c r="X28" s="442"/>
      <c r="Y28" s="442"/>
      <c r="Z28" s="442"/>
      <c r="AA28" s="442"/>
      <c r="AB28" s="441"/>
      <c r="AC28" s="222"/>
      <c r="AD28" s="187"/>
      <c r="AE28" s="187"/>
      <c r="AF28" s="187"/>
      <c r="AG28" s="187"/>
      <c r="AH28" s="187"/>
      <c r="AI28" s="222"/>
      <c r="AJ28" s="222"/>
      <c r="AK28" s="186"/>
      <c r="AL28" s="187"/>
      <c r="AM28" s="187"/>
      <c r="AN28" s="187"/>
      <c r="AO28" s="187"/>
      <c r="AP28" s="222"/>
      <c r="AQ28" s="188"/>
      <c r="AR28" s="187"/>
      <c r="AS28" s="187"/>
      <c r="AT28" s="187"/>
      <c r="AU28" s="187"/>
      <c r="AV28" s="187"/>
      <c r="AW28" s="222"/>
      <c r="AX28" s="187"/>
      <c r="AY28" s="186"/>
      <c r="AZ28" s="187"/>
      <c r="BA28" s="187"/>
      <c r="BB28" s="187"/>
      <c r="BC28" s="187"/>
      <c r="BD28" s="186"/>
      <c r="BE28" s="222"/>
      <c r="BF28" s="186"/>
      <c r="BG28" s="187"/>
      <c r="BH28" s="187"/>
      <c r="BI28" s="187"/>
      <c r="BJ28" s="187"/>
      <c r="BK28" s="186"/>
      <c r="BL28" s="222"/>
      <c r="BM28" s="186"/>
      <c r="BN28" s="187"/>
      <c r="BO28" s="187"/>
      <c r="BP28" s="187"/>
      <c r="BQ28" s="187"/>
      <c r="BR28" s="186"/>
      <c r="BS28" s="222"/>
      <c r="BT28" s="186"/>
      <c r="BU28" s="187"/>
      <c r="BV28" s="187"/>
      <c r="BW28" s="187"/>
      <c r="BX28" s="187"/>
      <c r="BY28" s="222"/>
      <c r="BZ28" s="222"/>
    </row>
    <row r="29" spans="1:78">
      <c r="A29" s="124" t="s">
        <v>20</v>
      </c>
      <c r="B29" s="186"/>
      <c r="C29" s="187"/>
      <c r="D29" s="187"/>
      <c r="E29" s="187"/>
      <c r="F29" s="187"/>
      <c r="G29" s="222"/>
      <c r="H29" s="222"/>
      <c r="I29" s="187"/>
      <c r="J29" s="187"/>
      <c r="K29" s="187"/>
      <c r="L29" s="187"/>
      <c r="M29" s="187"/>
      <c r="N29" s="222"/>
      <c r="O29" s="222"/>
      <c r="P29" s="441"/>
      <c r="Q29" s="442"/>
      <c r="R29" s="442"/>
      <c r="S29" s="442"/>
      <c r="T29" s="187"/>
      <c r="U29" s="186"/>
      <c r="V29" s="222"/>
      <c r="W29" s="441"/>
      <c r="X29" s="442"/>
      <c r="Y29" s="442"/>
      <c r="Z29" s="442"/>
      <c r="AA29" s="442"/>
      <c r="AB29" s="441"/>
      <c r="AC29" s="222"/>
      <c r="AD29" s="187"/>
      <c r="AE29" s="187"/>
      <c r="AF29" s="187"/>
      <c r="AG29" s="187"/>
      <c r="AH29" s="187"/>
      <c r="AI29" s="222"/>
      <c r="AJ29" s="222"/>
      <c r="AK29" s="186"/>
      <c r="AL29" s="187"/>
      <c r="AM29" s="187"/>
      <c r="AN29" s="187"/>
      <c r="AO29" s="187"/>
      <c r="AP29" s="222"/>
      <c r="AQ29" s="188"/>
      <c r="AR29" s="187"/>
      <c r="AS29" s="187"/>
      <c r="AT29" s="187"/>
      <c r="AU29" s="187"/>
      <c r="AV29" s="187"/>
      <c r="AW29" s="222"/>
      <c r="AX29" s="187"/>
      <c r="AY29" s="186"/>
      <c r="AZ29" s="187"/>
      <c r="BA29" s="187"/>
      <c r="BB29" s="187"/>
      <c r="BC29" s="187"/>
      <c r="BD29" s="186"/>
      <c r="BE29" s="222"/>
      <c r="BF29" s="186"/>
      <c r="BG29" s="187"/>
      <c r="BH29" s="187"/>
      <c r="BI29" s="187"/>
      <c r="BJ29" s="187"/>
      <c r="BK29" s="186"/>
      <c r="BL29" s="222"/>
      <c r="BM29" s="186"/>
      <c r="BN29" s="187"/>
      <c r="BO29" s="187"/>
      <c r="BP29" s="187"/>
      <c r="BQ29" s="187"/>
      <c r="BR29" s="186"/>
      <c r="BS29" s="222"/>
      <c r="BT29" s="186"/>
      <c r="BU29" s="187"/>
      <c r="BV29" s="187"/>
      <c r="BW29" s="187"/>
      <c r="BX29" s="187"/>
      <c r="BY29" s="222"/>
      <c r="BZ29" s="222"/>
    </row>
    <row r="30" spans="1:78">
      <c r="A30" s="124" t="s">
        <v>21</v>
      </c>
      <c r="B30" s="186"/>
      <c r="C30" s="187"/>
      <c r="D30" s="187"/>
      <c r="E30" s="187"/>
      <c r="F30" s="187"/>
      <c r="G30" s="222"/>
      <c r="H30" s="222"/>
      <c r="I30" s="187"/>
      <c r="J30" s="187"/>
      <c r="K30" s="187"/>
      <c r="L30" s="187"/>
      <c r="M30" s="187"/>
      <c r="N30" s="222"/>
      <c r="O30" s="222"/>
      <c r="P30" s="441"/>
      <c r="Q30" s="442"/>
      <c r="R30" s="442"/>
      <c r="S30" s="442"/>
      <c r="T30" s="187"/>
      <c r="U30" s="186"/>
      <c r="V30" s="222"/>
      <c r="W30" s="441"/>
      <c r="X30" s="442"/>
      <c r="Y30" s="442"/>
      <c r="Z30" s="442"/>
      <c r="AA30" s="187"/>
      <c r="AB30" s="441"/>
      <c r="AC30" s="222"/>
      <c r="AD30" s="187"/>
      <c r="AE30" s="187"/>
      <c r="AF30" s="187"/>
      <c r="AG30" s="187"/>
      <c r="AH30" s="187"/>
      <c r="AI30" s="222"/>
      <c r="AJ30" s="222"/>
      <c r="AK30" s="186"/>
      <c r="AL30" s="187"/>
      <c r="AM30" s="187"/>
      <c r="AN30" s="187"/>
      <c r="AO30" s="187"/>
      <c r="AP30" s="222"/>
      <c r="AQ30" s="188"/>
      <c r="AR30" s="187"/>
      <c r="AS30" s="187"/>
      <c r="AT30" s="187"/>
      <c r="AU30" s="187"/>
      <c r="AV30" s="187"/>
      <c r="AW30" s="222"/>
      <c r="AX30" s="187"/>
      <c r="AY30" s="186"/>
      <c r="AZ30" s="187"/>
      <c r="BA30" s="187"/>
      <c r="BB30" s="187"/>
      <c r="BC30" s="187"/>
      <c r="BD30" s="186"/>
      <c r="BE30" s="222"/>
      <c r="BF30" s="186"/>
      <c r="BG30" s="187"/>
      <c r="BH30" s="187"/>
      <c r="BI30" s="187"/>
      <c r="BJ30" s="187"/>
      <c r="BK30" s="186"/>
      <c r="BL30" s="222"/>
      <c r="BM30" s="186"/>
      <c r="BN30" s="187"/>
      <c r="BO30" s="187"/>
      <c r="BP30" s="187"/>
      <c r="BQ30" s="187"/>
      <c r="BR30" s="186"/>
      <c r="BS30" s="222"/>
      <c r="BT30" s="186"/>
      <c r="BU30" s="187"/>
      <c r="BV30" s="187"/>
      <c r="BW30" s="187"/>
      <c r="BX30" s="187"/>
      <c r="BY30" s="222"/>
      <c r="BZ30" s="222"/>
    </row>
    <row r="31" spans="1:78">
      <c r="A31" s="124" t="s">
        <v>22</v>
      </c>
      <c r="B31" s="186"/>
      <c r="C31" s="187"/>
      <c r="D31" s="187"/>
      <c r="E31" s="187"/>
      <c r="F31" s="187"/>
      <c r="G31" s="222"/>
      <c r="H31" s="222"/>
      <c r="I31" s="187"/>
      <c r="J31" s="187"/>
      <c r="K31" s="187"/>
      <c r="L31" s="187"/>
      <c r="M31" s="187"/>
      <c r="N31" s="222"/>
      <c r="O31" s="222"/>
      <c r="P31" s="186"/>
      <c r="Q31" s="187"/>
      <c r="R31" s="187"/>
      <c r="S31" s="187"/>
      <c r="T31" s="187"/>
      <c r="U31" s="186"/>
      <c r="V31" s="222"/>
      <c r="W31" s="441"/>
      <c r="X31" s="442"/>
      <c r="Y31" s="442"/>
      <c r="Z31" s="442"/>
      <c r="AA31" s="187"/>
      <c r="AB31" s="441"/>
      <c r="AC31" s="222"/>
      <c r="AD31" s="187"/>
      <c r="AE31" s="187"/>
      <c r="AF31" s="187"/>
      <c r="AG31" s="187"/>
      <c r="AH31" s="187"/>
      <c r="AI31" s="222"/>
      <c r="AJ31" s="222"/>
      <c r="AK31" s="186"/>
      <c r="AL31" s="187"/>
      <c r="AM31" s="187"/>
      <c r="AN31" s="187"/>
      <c r="AO31" s="187"/>
      <c r="AP31" s="222"/>
      <c r="AQ31" s="188"/>
      <c r="AR31" s="187"/>
      <c r="AS31" s="187"/>
      <c r="AT31" s="187"/>
      <c r="AU31" s="187"/>
      <c r="AV31" s="187"/>
      <c r="AW31" s="222"/>
      <c r="AX31" s="187"/>
      <c r="AY31" s="186"/>
      <c r="AZ31" s="187"/>
      <c r="BA31" s="187"/>
      <c r="BB31" s="187"/>
      <c r="BC31" s="187"/>
      <c r="BD31" s="186"/>
      <c r="BE31" s="222"/>
      <c r="BF31" s="186"/>
      <c r="BG31" s="187"/>
      <c r="BH31" s="187"/>
      <c r="BI31" s="187"/>
      <c r="BJ31" s="187"/>
      <c r="BK31" s="186"/>
      <c r="BL31" s="222"/>
      <c r="BM31" s="186"/>
      <c r="BN31" s="187"/>
      <c r="BO31" s="187"/>
      <c r="BP31" s="187"/>
      <c r="BQ31" s="187"/>
      <c r="BR31" s="186"/>
      <c r="BS31" s="222"/>
      <c r="BT31" s="186"/>
      <c r="BU31" s="187"/>
      <c r="BV31" s="187"/>
      <c r="BW31" s="187"/>
      <c r="BX31" s="187"/>
      <c r="BY31" s="222"/>
      <c r="BZ31" s="222"/>
    </row>
    <row r="32" spans="1:78">
      <c r="A32" s="124" t="s">
        <v>23</v>
      </c>
      <c r="B32" s="186"/>
      <c r="C32" s="187"/>
      <c r="D32" s="187"/>
      <c r="E32" s="187"/>
      <c r="F32" s="187"/>
      <c r="G32" s="222"/>
      <c r="H32" s="222"/>
      <c r="I32" s="187"/>
      <c r="J32" s="187"/>
      <c r="K32" s="187"/>
      <c r="L32" s="187"/>
      <c r="M32" s="187"/>
      <c r="N32" s="222"/>
      <c r="O32" s="222"/>
      <c r="P32" s="186"/>
      <c r="Q32" s="187"/>
      <c r="R32" s="187"/>
      <c r="S32" s="187"/>
      <c r="T32" s="187"/>
      <c r="U32" s="186"/>
      <c r="V32" s="222"/>
      <c r="W32" s="186"/>
      <c r="X32" s="187"/>
      <c r="Y32" s="187"/>
      <c r="Z32" s="187"/>
      <c r="AA32" s="187"/>
      <c r="AB32" s="222"/>
      <c r="AC32" s="222"/>
      <c r="AD32" s="187"/>
      <c r="AE32" s="187"/>
      <c r="AF32" s="187"/>
      <c r="AG32" s="187"/>
      <c r="AH32" s="187"/>
      <c r="AI32" s="222"/>
      <c r="AJ32" s="222"/>
      <c r="AK32" s="186"/>
      <c r="AL32" s="187"/>
      <c r="AM32" s="187"/>
      <c r="AN32" s="187"/>
      <c r="AO32" s="187"/>
      <c r="AP32" s="222"/>
      <c r="AQ32" s="188"/>
      <c r="AR32" s="187"/>
      <c r="AS32" s="187"/>
      <c r="AT32" s="187"/>
      <c r="AU32" s="187"/>
      <c r="AV32" s="187"/>
      <c r="AW32" s="222"/>
      <c r="AX32" s="187"/>
      <c r="AY32" s="186"/>
      <c r="AZ32" s="187"/>
      <c r="BA32" s="187"/>
      <c r="BB32" s="187"/>
      <c r="BC32" s="187"/>
      <c r="BD32" s="186"/>
      <c r="BE32" s="222"/>
      <c r="BF32" s="186"/>
      <c r="BG32" s="187"/>
      <c r="BH32" s="187"/>
      <c r="BI32" s="187"/>
      <c r="BJ32" s="187"/>
      <c r="BK32" s="186"/>
      <c r="BL32" s="222"/>
      <c r="BM32" s="186"/>
      <c r="BN32" s="187"/>
      <c r="BO32" s="187"/>
      <c r="BP32" s="187"/>
      <c r="BQ32" s="187"/>
      <c r="BR32" s="186"/>
      <c r="BS32" s="222"/>
      <c r="BT32" s="186"/>
      <c r="BU32" s="187"/>
      <c r="BV32" s="187"/>
      <c r="BW32" s="187"/>
      <c r="BX32" s="187"/>
      <c r="BY32" s="222"/>
      <c r="BZ32" s="222"/>
    </row>
    <row r="33" spans="1:81">
      <c r="A33" s="124" t="s">
        <v>24</v>
      </c>
      <c r="B33" s="186"/>
      <c r="C33" s="187"/>
      <c r="D33" s="187"/>
      <c r="E33" s="187"/>
      <c r="F33" s="187"/>
      <c r="G33" s="222"/>
      <c r="H33" s="222"/>
      <c r="I33" s="187"/>
      <c r="J33" s="187"/>
      <c r="K33" s="187"/>
      <c r="L33" s="187"/>
      <c r="M33" s="187"/>
      <c r="N33" s="222"/>
      <c r="O33" s="222"/>
      <c r="P33" s="186"/>
      <c r="Q33" s="187"/>
      <c r="R33" s="187"/>
      <c r="S33" s="187"/>
      <c r="T33" s="187"/>
      <c r="U33" s="186"/>
      <c r="V33" s="222"/>
      <c r="W33" s="186"/>
      <c r="X33" s="187"/>
      <c r="Y33" s="187"/>
      <c r="Z33" s="187"/>
      <c r="AA33" s="187"/>
      <c r="AB33" s="222"/>
      <c r="AC33" s="222"/>
      <c r="AD33" s="187"/>
      <c r="AE33" s="187"/>
      <c r="AF33" s="187"/>
      <c r="AG33" s="187"/>
      <c r="AH33" s="187"/>
      <c r="AI33" s="222"/>
      <c r="AJ33" s="222"/>
      <c r="AK33" s="186"/>
      <c r="AL33" s="187"/>
      <c r="AM33" s="187"/>
      <c r="AN33" s="187"/>
      <c r="AO33" s="187"/>
      <c r="AP33" s="222"/>
      <c r="AQ33" s="188"/>
      <c r="AR33" s="187"/>
      <c r="AS33" s="187"/>
      <c r="AT33" s="187"/>
      <c r="AU33" s="187"/>
      <c r="AV33" s="187"/>
      <c r="AW33" s="222"/>
      <c r="AX33" s="187"/>
      <c r="AY33" s="186"/>
      <c r="AZ33" s="187"/>
      <c r="BA33" s="187"/>
      <c r="BB33" s="187"/>
      <c r="BC33" s="187"/>
      <c r="BD33" s="186"/>
      <c r="BE33" s="222"/>
      <c r="BF33" s="186"/>
      <c r="BG33" s="187"/>
      <c r="BH33" s="187"/>
      <c r="BI33" s="187"/>
      <c r="BJ33" s="187"/>
      <c r="BK33" s="186"/>
      <c r="BL33" s="222"/>
      <c r="BM33" s="186"/>
      <c r="BN33" s="187"/>
      <c r="BO33" s="187"/>
      <c r="BP33" s="187"/>
      <c r="BQ33" s="187"/>
      <c r="BR33" s="186"/>
      <c r="BS33" s="222"/>
      <c r="BT33" s="186"/>
      <c r="BU33" s="187"/>
      <c r="BV33" s="187"/>
      <c r="BW33" s="187"/>
      <c r="BX33" s="187"/>
      <c r="BY33" s="222"/>
      <c r="BZ33" s="222"/>
    </row>
    <row r="34" spans="1:81">
      <c r="A34" s="124" t="s">
        <v>25</v>
      </c>
      <c r="B34" s="186"/>
      <c r="C34" s="187"/>
      <c r="D34" s="187"/>
      <c r="E34" s="187"/>
      <c r="F34" s="187"/>
      <c r="G34" s="222"/>
      <c r="H34" s="222"/>
      <c r="I34" s="187"/>
      <c r="J34" s="187"/>
      <c r="K34" s="187"/>
      <c r="L34" s="187"/>
      <c r="M34" s="187"/>
      <c r="N34" s="222"/>
      <c r="O34" s="222"/>
      <c r="P34" s="186"/>
      <c r="Q34" s="187"/>
      <c r="R34" s="187"/>
      <c r="S34" s="187"/>
      <c r="T34" s="187"/>
      <c r="U34" s="186"/>
      <c r="V34" s="222"/>
      <c r="W34" s="186"/>
      <c r="X34" s="187"/>
      <c r="Y34" s="187"/>
      <c r="Z34" s="187"/>
      <c r="AA34" s="187"/>
      <c r="AB34" s="222"/>
      <c r="AC34" s="222"/>
      <c r="AD34" s="187"/>
      <c r="AE34" s="187"/>
      <c r="AF34" s="187"/>
      <c r="AG34" s="187"/>
      <c r="AH34" s="187"/>
      <c r="AI34" s="222"/>
      <c r="AJ34" s="222"/>
      <c r="AK34" s="186"/>
      <c r="AL34" s="187"/>
      <c r="AM34" s="187"/>
      <c r="AN34" s="187"/>
      <c r="AO34" s="187"/>
      <c r="AP34" s="222"/>
      <c r="AQ34" s="188"/>
      <c r="AR34" s="187"/>
      <c r="AS34" s="187"/>
      <c r="AT34" s="187"/>
      <c r="AU34" s="187"/>
      <c r="AV34" s="187"/>
      <c r="AW34" s="222"/>
      <c r="AX34" s="187"/>
      <c r="AY34" s="186"/>
      <c r="AZ34" s="187"/>
      <c r="BA34" s="187"/>
      <c r="BB34" s="187"/>
      <c r="BC34" s="187"/>
      <c r="BD34" s="186"/>
      <c r="BE34" s="222"/>
      <c r="BF34" s="186"/>
      <c r="BG34" s="187"/>
      <c r="BH34" s="187"/>
      <c r="BI34" s="187"/>
      <c r="BJ34" s="187"/>
      <c r="BK34" s="186"/>
      <c r="BL34" s="222"/>
      <c r="BM34" s="186"/>
      <c r="BN34" s="187"/>
      <c r="BO34" s="187"/>
      <c r="BP34" s="187"/>
      <c r="BQ34" s="187"/>
      <c r="BR34" s="186"/>
      <c r="BS34" s="222"/>
      <c r="BT34" s="186"/>
      <c r="BU34" s="187"/>
      <c r="BV34" s="187"/>
      <c r="BW34" s="187"/>
      <c r="BX34" s="187"/>
      <c r="BY34" s="222"/>
      <c r="BZ34" s="222"/>
    </row>
    <row r="35" spans="1:81">
      <c r="A35" s="124" t="s">
        <v>111</v>
      </c>
      <c r="B35" s="186"/>
      <c r="C35" s="187"/>
      <c r="D35" s="187"/>
      <c r="E35" s="187"/>
      <c r="F35" s="187"/>
      <c r="G35" s="222"/>
      <c r="H35" s="222"/>
      <c r="I35" s="187"/>
      <c r="J35" s="187"/>
      <c r="K35" s="187"/>
      <c r="L35" s="187"/>
      <c r="M35" s="187"/>
      <c r="N35" s="222"/>
      <c r="O35" s="222"/>
      <c r="P35" s="186"/>
      <c r="Q35" s="187"/>
      <c r="R35" s="187"/>
      <c r="S35" s="187"/>
      <c r="T35" s="187"/>
      <c r="U35" s="186"/>
      <c r="V35" s="222"/>
      <c r="W35" s="186"/>
      <c r="X35" s="187"/>
      <c r="Y35" s="187"/>
      <c r="Z35" s="187"/>
      <c r="AA35" s="187"/>
      <c r="AB35" s="222"/>
      <c r="AC35" s="222"/>
      <c r="AD35" s="187"/>
      <c r="AE35" s="187"/>
      <c r="AF35" s="187"/>
      <c r="AG35" s="187"/>
      <c r="AH35" s="187"/>
      <c r="AI35" s="222"/>
      <c r="AJ35" s="222"/>
      <c r="AK35" s="186"/>
      <c r="AL35" s="187"/>
      <c r="AM35" s="187"/>
      <c r="AN35" s="187"/>
      <c r="AO35" s="187"/>
      <c r="AP35" s="222"/>
      <c r="AQ35" s="188"/>
      <c r="AR35" s="187"/>
      <c r="AS35" s="187"/>
      <c r="AT35" s="187"/>
      <c r="AU35" s="187"/>
      <c r="AV35" s="187"/>
      <c r="AW35" s="222"/>
      <c r="AX35" s="187"/>
      <c r="AY35" s="186"/>
      <c r="AZ35" s="187"/>
      <c r="BA35" s="187"/>
      <c r="BB35" s="187"/>
      <c r="BC35" s="187"/>
      <c r="BD35" s="186"/>
      <c r="BE35" s="222"/>
      <c r="BF35" s="186"/>
      <c r="BG35" s="187"/>
      <c r="BH35" s="187"/>
      <c r="BI35" s="187"/>
      <c r="BJ35" s="187"/>
      <c r="BK35" s="186"/>
      <c r="BL35" s="222"/>
      <c r="BM35" s="186"/>
      <c r="BN35" s="187"/>
      <c r="BO35" s="187"/>
      <c r="BP35" s="187"/>
      <c r="BQ35" s="187"/>
      <c r="BR35" s="186"/>
      <c r="BS35" s="222"/>
      <c r="BT35" s="186"/>
      <c r="BU35" s="187"/>
      <c r="BV35" s="187"/>
      <c r="BW35" s="187"/>
      <c r="BX35" s="187"/>
      <c r="BY35" s="222"/>
      <c r="BZ35" s="222"/>
    </row>
    <row r="36" spans="1:81">
      <c r="A36" s="124" t="s">
        <v>112</v>
      </c>
      <c r="B36" s="186"/>
      <c r="C36" s="187"/>
      <c r="D36" s="187"/>
      <c r="E36" s="187"/>
      <c r="F36" s="187"/>
      <c r="G36" s="222"/>
      <c r="H36" s="222"/>
      <c r="I36" s="187"/>
      <c r="J36" s="187"/>
      <c r="K36" s="187"/>
      <c r="L36" s="187"/>
      <c r="M36" s="187"/>
      <c r="N36" s="222"/>
      <c r="O36" s="222"/>
      <c r="P36" s="186"/>
      <c r="Q36" s="187"/>
      <c r="R36" s="187"/>
      <c r="S36" s="187"/>
      <c r="T36" s="187"/>
      <c r="U36" s="186"/>
      <c r="V36" s="222"/>
      <c r="W36" s="186"/>
      <c r="X36" s="187"/>
      <c r="Y36" s="187"/>
      <c r="Z36" s="187"/>
      <c r="AA36" s="187"/>
      <c r="AB36" s="222"/>
      <c r="AC36" s="222"/>
      <c r="AD36" s="187"/>
      <c r="AE36" s="187"/>
      <c r="AF36" s="187"/>
      <c r="AG36" s="187"/>
      <c r="AH36" s="187"/>
      <c r="AI36" s="222"/>
      <c r="AJ36" s="222"/>
      <c r="AK36" s="186"/>
      <c r="AL36" s="187"/>
      <c r="AM36" s="187"/>
      <c r="AN36" s="187"/>
      <c r="AO36" s="187"/>
      <c r="AP36" s="222"/>
      <c r="AQ36" s="188"/>
      <c r="AR36" s="187"/>
      <c r="AS36" s="187"/>
      <c r="AT36" s="187"/>
      <c r="AU36" s="187"/>
      <c r="AV36" s="187"/>
      <c r="AW36" s="222"/>
      <c r="AX36" s="187"/>
      <c r="AY36" s="186"/>
      <c r="AZ36" s="187"/>
      <c r="BA36" s="187"/>
      <c r="BB36" s="187"/>
      <c r="BC36" s="187"/>
      <c r="BD36" s="186"/>
      <c r="BE36" s="222"/>
      <c r="BF36" s="186"/>
      <c r="BG36" s="187"/>
      <c r="BH36" s="187"/>
      <c r="BI36" s="187"/>
      <c r="BJ36" s="187"/>
      <c r="BK36" s="186"/>
      <c r="BL36" s="222"/>
      <c r="BM36" s="186"/>
      <c r="BN36" s="187"/>
      <c r="BO36" s="187"/>
      <c r="BP36" s="187"/>
      <c r="BQ36" s="187"/>
      <c r="BR36" s="186"/>
      <c r="BS36" s="222"/>
      <c r="BT36" s="186"/>
      <c r="BU36" s="187"/>
      <c r="BV36" s="187"/>
      <c r="BW36" s="187"/>
      <c r="BX36" s="187"/>
      <c r="BY36" s="222"/>
      <c r="BZ36" s="222"/>
    </row>
    <row r="37" spans="1:81">
      <c r="A37" s="124" t="s">
        <v>26</v>
      </c>
      <c r="B37" s="186"/>
      <c r="C37" s="187"/>
      <c r="D37" s="187"/>
      <c r="E37" s="187"/>
      <c r="F37" s="187"/>
      <c r="G37" s="222"/>
      <c r="H37" s="222"/>
      <c r="I37" s="187"/>
      <c r="J37" s="187"/>
      <c r="K37" s="187"/>
      <c r="L37" s="187"/>
      <c r="M37" s="187"/>
      <c r="N37" s="222"/>
      <c r="O37" s="222"/>
      <c r="P37" s="186"/>
      <c r="Q37" s="187"/>
      <c r="R37" s="187"/>
      <c r="S37" s="187"/>
      <c r="T37" s="187"/>
      <c r="U37" s="186"/>
      <c r="V37" s="222"/>
      <c r="W37" s="186"/>
      <c r="X37" s="187"/>
      <c r="Y37" s="187"/>
      <c r="Z37" s="187"/>
      <c r="AA37" s="187"/>
      <c r="AB37" s="222"/>
      <c r="AC37" s="222"/>
      <c r="AD37" s="187"/>
      <c r="AE37" s="187"/>
      <c r="AF37" s="187"/>
      <c r="AG37" s="187"/>
      <c r="AH37" s="187"/>
      <c r="AI37" s="222"/>
      <c r="AJ37" s="222"/>
      <c r="AK37" s="186"/>
      <c r="AL37" s="187"/>
      <c r="AM37" s="187"/>
      <c r="AN37" s="187"/>
      <c r="AO37" s="187"/>
      <c r="AP37" s="222"/>
      <c r="AQ37" s="188"/>
      <c r="AR37" s="187"/>
      <c r="AS37" s="187"/>
      <c r="AT37" s="187"/>
      <c r="AU37" s="187"/>
      <c r="AV37" s="187"/>
      <c r="AW37" s="222"/>
      <c r="AX37" s="187"/>
      <c r="AY37" s="186"/>
      <c r="AZ37" s="187"/>
      <c r="BA37" s="187"/>
      <c r="BB37" s="187"/>
      <c r="BC37" s="187"/>
      <c r="BD37" s="186"/>
      <c r="BE37" s="222"/>
      <c r="BF37" s="186"/>
      <c r="BG37" s="187"/>
      <c r="BH37" s="187"/>
      <c r="BI37" s="187"/>
      <c r="BJ37" s="187"/>
      <c r="BK37" s="186"/>
      <c r="BL37" s="222"/>
      <c r="BM37" s="186"/>
      <c r="BN37" s="187"/>
      <c r="BO37" s="187"/>
      <c r="BP37" s="187"/>
      <c r="BQ37" s="187"/>
      <c r="BR37" s="186"/>
      <c r="BS37" s="222"/>
      <c r="BT37" s="186"/>
      <c r="BU37" s="187"/>
      <c r="BV37" s="187"/>
      <c r="BW37" s="187"/>
      <c r="BX37" s="187"/>
      <c r="BY37" s="222"/>
      <c r="BZ37" s="222"/>
    </row>
    <row r="38" spans="1:81">
      <c r="A38" s="124" t="s">
        <v>27</v>
      </c>
      <c r="B38" s="186"/>
      <c r="C38" s="187"/>
      <c r="D38" s="187"/>
      <c r="E38" s="187"/>
      <c r="F38" s="187"/>
      <c r="G38" s="222"/>
      <c r="H38" s="222"/>
      <c r="I38" s="187"/>
      <c r="J38" s="187"/>
      <c r="K38" s="187"/>
      <c r="L38" s="187"/>
      <c r="M38" s="187"/>
      <c r="N38" s="222"/>
      <c r="O38" s="222"/>
      <c r="P38" s="186"/>
      <c r="Q38" s="187"/>
      <c r="R38" s="187"/>
      <c r="S38" s="187"/>
      <c r="T38" s="187"/>
      <c r="U38" s="186"/>
      <c r="V38" s="222"/>
      <c r="W38" s="186"/>
      <c r="X38" s="187"/>
      <c r="Y38" s="187"/>
      <c r="Z38" s="187"/>
      <c r="AA38" s="187"/>
      <c r="AB38" s="222"/>
      <c r="AC38" s="222"/>
      <c r="AD38" s="187"/>
      <c r="AE38" s="187"/>
      <c r="AF38" s="187"/>
      <c r="AG38" s="187"/>
      <c r="AH38" s="187"/>
      <c r="AI38" s="222"/>
      <c r="AJ38" s="222"/>
      <c r="AK38" s="186"/>
      <c r="AL38" s="187"/>
      <c r="AM38" s="187"/>
      <c r="AN38" s="187"/>
      <c r="AO38" s="187"/>
      <c r="AP38" s="222"/>
      <c r="AQ38" s="188"/>
      <c r="AR38" s="187"/>
      <c r="AS38" s="187"/>
      <c r="AT38" s="187"/>
      <c r="AU38" s="187"/>
      <c r="AV38" s="187"/>
      <c r="AW38" s="222"/>
      <c r="AX38" s="187"/>
      <c r="AY38" s="186"/>
      <c r="AZ38" s="187"/>
      <c r="BA38" s="187"/>
      <c r="BB38" s="187"/>
      <c r="BC38" s="187"/>
      <c r="BD38" s="186"/>
      <c r="BE38" s="222"/>
      <c r="BF38" s="186"/>
      <c r="BG38" s="187"/>
      <c r="BH38" s="187"/>
      <c r="BI38" s="187"/>
      <c r="BJ38" s="187"/>
      <c r="BK38" s="186"/>
      <c r="BL38" s="222"/>
      <c r="BM38" s="186"/>
      <c r="BN38" s="187"/>
      <c r="BO38" s="187"/>
      <c r="BP38" s="187"/>
      <c r="BQ38" s="187"/>
      <c r="BR38" s="186"/>
      <c r="BS38" s="222"/>
      <c r="BT38" s="186"/>
      <c r="BU38" s="187"/>
      <c r="BV38" s="187"/>
      <c r="BW38" s="187"/>
      <c r="BX38" s="187"/>
      <c r="BY38" s="222"/>
      <c r="BZ38" s="222"/>
    </row>
    <row r="39" spans="1:81" ht="13.5" thickBot="1">
      <c r="A39" s="124"/>
      <c r="B39" s="186"/>
      <c r="C39" s="187"/>
      <c r="D39" s="187"/>
      <c r="E39" s="187"/>
      <c r="F39" s="187"/>
      <c r="G39" s="222"/>
      <c r="H39" s="222"/>
      <c r="I39" s="187"/>
      <c r="J39" s="187"/>
      <c r="K39" s="187"/>
      <c r="L39" s="187"/>
      <c r="M39" s="187"/>
      <c r="N39" s="338"/>
      <c r="O39" s="222"/>
      <c r="P39" s="186"/>
      <c r="Q39" s="187"/>
      <c r="R39" s="187"/>
      <c r="S39" s="187"/>
      <c r="T39" s="187"/>
      <c r="U39" s="186"/>
      <c r="V39" s="222"/>
      <c r="W39" s="186"/>
      <c r="X39" s="187"/>
      <c r="Y39" s="187"/>
      <c r="Z39" s="187"/>
      <c r="AA39" s="187"/>
      <c r="AB39" s="222"/>
      <c r="AC39" s="222"/>
      <c r="AD39" s="187"/>
      <c r="AE39" s="187"/>
      <c r="AF39" s="187"/>
      <c r="AG39" s="187"/>
      <c r="AH39" s="187"/>
      <c r="AI39" s="222"/>
      <c r="AJ39" s="222"/>
      <c r="AK39" s="186"/>
      <c r="AL39" s="187"/>
      <c r="AM39" s="187"/>
      <c r="AN39" s="187"/>
      <c r="AO39" s="187"/>
      <c r="AP39" s="222"/>
      <c r="AQ39" s="188"/>
      <c r="AR39" s="187"/>
      <c r="AS39" s="187"/>
      <c r="AT39" s="187"/>
      <c r="AU39" s="187"/>
      <c r="AV39" s="187"/>
      <c r="AW39" s="222"/>
      <c r="AX39" s="187"/>
      <c r="AY39" s="186"/>
      <c r="AZ39" s="187"/>
      <c r="BA39" s="187"/>
      <c r="BB39" s="187"/>
      <c r="BC39" s="187"/>
      <c r="BD39" s="186"/>
      <c r="BE39" s="222"/>
      <c r="BF39" s="186"/>
      <c r="BG39" s="187"/>
      <c r="BH39" s="187"/>
      <c r="BI39" s="187"/>
      <c r="BJ39" s="187"/>
      <c r="BK39" s="186"/>
      <c r="BL39" s="222"/>
      <c r="BM39" s="186"/>
      <c r="BN39" s="187"/>
      <c r="BO39" s="187"/>
      <c r="BP39" s="187"/>
      <c r="BQ39" s="187"/>
      <c r="BR39" s="186"/>
      <c r="BS39" s="222"/>
      <c r="BT39" s="186"/>
      <c r="BU39" s="187"/>
      <c r="BV39" s="187"/>
      <c r="BW39" s="187"/>
      <c r="BX39" s="187"/>
      <c r="BY39" s="222"/>
      <c r="BZ39" s="222"/>
    </row>
    <row r="40" spans="1:81" ht="13.5" thickBot="1">
      <c r="A40" s="181" t="s">
        <v>2</v>
      </c>
      <c r="B40" s="578">
        <f>SUM(B8:B38)</f>
        <v>1</v>
      </c>
      <c r="C40" s="579"/>
      <c r="D40" s="579"/>
      <c r="E40" s="579"/>
      <c r="F40" s="579">
        <f>SUM(F8:F38)</f>
        <v>1</v>
      </c>
      <c r="G40" s="580"/>
      <c r="H40" s="580">
        <f>SUM(H8:H38)</f>
        <v>1</v>
      </c>
      <c r="I40" s="579"/>
      <c r="J40" s="579"/>
      <c r="K40" s="579"/>
      <c r="L40" s="579"/>
      <c r="M40" s="579"/>
      <c r="N40" s="578"/>
      <c r="O40" s="580"/>
      <c r="P40" s="578"/>
      <c r="Q40" s="579"/>
      <c r="R40" s="579"/>
      <c r="S40" s="579"/>
      <c r="T40" s="579"/>
      <c r="U40" s="578"/>
      <c r="V40" s="580"/>
      <c r="W40" s="578"/>
      <c r="X40" s="579"/>
      <c r="Y40" s="579"/>
      <c r="Z40" s="579"/>
      <c r="AA40" s="579"/>
      <c r="AB40" s="580"/>
      <c r="AC40" s="580"/>
      <c r="AD40" s="578"/>
      <c r="AE40" s="579"/>
      <c r="AF40" s="579"/>
      <c r="AG40" s="579"/>
      <c r="AH40" s="579"/>
      <c r="AI40" s="580"/>
      <c r="AJ40" s="580"/>
      <c r="AK40" s="578"/>
      <c r="AL40" s="579"/>
      <c r="AM40" s="579"/>
      <c r="AN40" s="579"/>
      <c r="AO40" s="579"/>
      <c r="AP40" s="580"/>
      <c r="AQ40" s="581"/>
      <c r="AR40" s="578"/>
      <c r="AS40" s="579"/>
      <c r="AT40" s="579"/>
      <c r="AU40" s="579"/>
      <c r="AV40" s="581"/>
      <c r="AW40" s="578"/>
      <c r="AX40" s="580"/>
      <c r="AY40" s="578"/>
      <c r="AZ40" s="579"/>
      <c r="BA40" s="579"/>
      <c r="BB40" s="579"/>
      <c r="BC40" s="579"/>
      <c r="BD40" s="578"/>
      <c r="BE40" s="580"/>
      <c r="BF40" s="578"/>
      <c r="BG40" s="579"/>
      <c r="BH40" s="579"/>
      <c r="BI40" s="579"/>
      <c r="BJ40" s="579"/>
      <c r="BK40" s="578"/>
      <c r="BL40" s="580"/>
      <c r="BM40" s="578"/>
      <c r="BN40" s="579"/>
      <c r="BO40" s="579"/>
      <c r="BP40" s="579"/>
      <c r="BQ40" s="581"/>
      <c r="BR40" s="579"/>
      <c r="BS40" s="580"/>
      <c r="BT40" s="578">
        <f t="shared" ref="BT40:BX40" si="5">SUM(BT8:BT38)</f>
        <v>1</v>
      </c>
      <c r="BU40" s="579"/>
      <c r="BV40" s="579"/>
      <c r="BW40" s="579"/>
      <c r="BX40" s="579">
        <f t="shared" si="5"/>
        <v>1</v>
      </c>
      <c r="BY40" s="580"/>
      <c r="BZ40" s="580">
        <f>SUM(BZ8:BZ38)</f>
        <v>1</v>
      </c>
      <c r="CB40" s="178"/>
      <c r="CC40" s="18"/>
    </row>
    <row r="41" spans="1:81">
      <c r="A41" s="121"/>
      <c r="B41" s="305"/>
      <c r="C41" s="305"/>
      <c r="D41" s="305"/>
      <c r="E41" s="305"/>
      <c r="F41" s="305"/>
      <c r="G41" s="305"/>
      <c r="H41" s="305"/>
      <c r="I41" s="305"/>
      <c r="J41" s="305"/>
      <c r="K41" s="305"/>
      <c r="L41" s="305"/>
      <c r="M41" s="305"/>
      <c r="N41" s="305"/>
      <c r="O41" s="305"/>
      <c r="P41" s="305"/>
      <c r="Q41" s="305"/>
      <c r="R41" s="305"/>
      <c r="S41" s="305"/>
      <c r="T41" s="305"/>
      <c r="U41" s="305"/>
      <c r="V41" s="305"/>
      <c r="W41" s="305"/>
      <c r="X41" s="305"/>
      <c r="Y41" s="305"/>
      <c r="Z41" s="305"/>
      <c r="AA41" s="305"/>
      <c r="AB41" s="305"/>
      <c r="AC41" s="305"/>
      <c r="AD41" s="305"/>
      <c r="AE41" s="305"/>
      <c r="AF41" s="305"/>
      <c r="AG41" s="305"/>
      <c r="AH41" s="305"/>
      <c r="AI41" s="305"/>
      <c r="AJ41" s="305"/>
      <c r="AK41" s="305"/>
      <c r="AL41" s="305"/>
      <c r="AM41" s="305"/>
      <c r="AN41" s="305"/>
      <c r="AO41" s="305"/>
      <c r="AP41" s="305"/>
      <c r="AQ41" s="305"/>
      <c r="AR41" s="13"/>
      <c r="AS41" s="13"/>
      <c r="AT41" s="13"/>
      <c r="AU41" s="13"/>
      <c r="AV41" s="13"/>
      <c r="AW41" s="305"/>
      <c r="AX41" s="305"/>
      <c r="AY41" s="305"/>
      <c r="AZ41" s="305"/>
      <c r="BA41" s="305"/>
      <c r="BB41" s="305"/>
      <c r="BC41" s="305"/>
      <c r="BD41" s="305"/>
      <c r="BE41" s="305"/>
      <c r="BF41" s="305"/>
      <c r="BG41" s="305"/>
      <c r="BH41" s="305"/>
      <c r="BI41" s="305"/>
      <c r="BJ41" s="305"/>
      <c r="BK41" s="305"/>
      <c r="BL41" s="305"/>
      <c r="BM41" s="13"/>
      <c r="BN41" s="13"/>
      <c r="BO41" s="13"/>
      <c r="BP41" s="13"/>
      <c r="BQ41" s="13"/>
      <c r="BR41" s="305"/>
      <c r="BS41" s="305"/>
      <c r="BT41" s="305"/>
      <c r="BU41" s="305"/>
      <c r="BV41" s="305"/>
      <c r="BW41" s="305"/>
      <c r="BX41" s="305"/>
      <c r="BY41" s="130"/>
      <c r="BZ41" s="420"/>
      <c r="CB41" s="18"/>
    </row>
    <row r="42" spans="1:81">
      <c r="A42" s="29" t="s">
        <v>307</v>
      </c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25"/>
      <c r="BZ42" s="76"/>
    </row>
    <row r="43" spans="1:81">
      <c r="A43" s="29"/>
      <c r="B43" s="421" t="s">
        <v>398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25"/>
      <c r="BZ43" s="76"/>
    </row>
    <row r="44" spans="1:81" ht="13.5" thickBot="1">
      <c r="A44" s="72"/>
      <c r="B44" s="438" t="s">
        <v>306</v>
      </c>
      <c r="C44" s="16"/>
      <c r="D44" s="16"/>
      <c r="E44" s="16"/>
      <c r="F44" s="16"/>
      <c r="G44" s="16"/>
      <c r="H44" s="16"/>
      <c r="I44" s="426"/>
      <c r="J44" s="16"/>
      <c r="K44" s="16"/>
      <c r="L44" s="16"/>
      <c r="M44" s="16"/>
      <c r="N44" s="16"/>
      <c r="O44" s="16"/>
      <c r="P44" s="427"/>
      <c r="Q44" s="428"/>
      <c r="R44" s="16"/>
      <c r="S44" s="16"/>
      <c r="T44" s="16"/>
      <c r="U44" s="16"/>
      <c r="V44" s="16"/>
      <c r="W44" s="427"/>
      <c r="X44" s="428"/>
      <c r="Y44" s="16"/>
      <c r="Z44" s="16"/>
      <c r="AA44" s="16"/>
      <c r="AB44" s="16"/>
      <c r="AC44" s="16"/>
      <c r="AD44" s="427"/>
      <c r="AE44" s="428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429"/>
      <c r="BI44" s="16"/>
      <c r="BJ44" s="16"/>
      <c r="BK44" s="16"/>
      <c r="BL44" s="16"/>
      <c r="BM44" s="429"/>
      <c r="BN44" s="16"/>
      <c r="BO44" s="16"/>
      <c r="BP44" s="16"/>
      <c r="BQ44" s="16"/>
      <c r="BR44" s="16"/>
      <c r="BS44" s="429"/>
      <c r="BT44" s="428"/>
      <c r="BU44" s="16"/>
      <c r="BV44" s="16"/>
      <c r="BW44" s="16"/>
      <c r="BX44" s="16"/>
      <c r="BY44" s="16"/>
      <c r="BZ44" s="17"/>
    </row>
    <row r="45" spans="1:81">
      <c r="A45" s="2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3"/>
      <c r="Q45" s="184"/>
      <c r="R45" s="12"/>
      <c r="S45" s="12"/>
      <c r="T45" s="12"/>
      <c r="U45" s="12"/>
      <c r="V45" s="12"/>
      <c r="W45" s="13"/>
      <c r="X45" s="184"/>
      <c r="Y45" s="12"/>
      <c r="Z45" s="12"/>
      <c r="AA45" s="12"/>
      <c r="AB45" s="12"/>
      <c r="AC45" s="12"/>
      <c r="AD45" s="13"/>
      <c r="AE45" s="184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60"/>
    </row>
    <row r="46" spans="1:81">
      <c r="A46" s="21"/>
      <c r="B46" s="12"/>
      <c r="C46" s="12"/>
      <c r="D46" s="12"/>
      <c r="E46" s="12"/>
      <c r="F46" s="12"/>
      <c r="G46" s="12"/>
      <c r="H46" s="13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Z46" s="12"/>
    </row>
    <row r="47" spans="1:81">
      <c r="A47" s="2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571"/>
      <c r="X47" s="570"/>
      <c r="Y47" s="570"/>
      <c r="Z47" s="570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Z47" s="12"/>
    </row>
    <row r="48" spans="1:81">
      <c r="A48" s="2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3"/>
      <c r="X48" s="12"/>
      <c r="Y48" s="12"/>
      <c r="Z48" s="12"/>
      <c r="AA48" s="571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Z48" s="12"/>
    </row>
    <row r="49" spans="1:76">
      <c r="A49" s="2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</row>
    <row r="50" spans="1:76">
      <c r="A50" s="2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</row>
    <row r="51" spans="1:76">
      <c r="A51" s="21"/>
    </row>
    <row r="52" spans="1:76">
      <c r="A52" s="21"/>
    </row>
    <row r="53" spans="1:76">
      <c r="A53" s="21"/>
    </row>
    <row r="54" spans="1:76">
      <c r="A54" s="21"/>
    </row>
    <row r="55" spans="1:76">
      <c r="A55" s="21"/>
    </row>
    <row r="56" spans="1:76">
      <c r="A56" s="21"/>
    </row>
    <row r="57" spans="1:76">
      <c r="A57" s="21"/>
    </row>
    <row r="58" spans="1:76">
      <c r="A58" s="21"/>
    </row>
    <row r="59" spans="1:76">
      <c r="A59" s="21"/>
    </row>
    <row r="60" spans="1:76">
      <c r="A60" s="21"/>
    </row>
    <row r="61" spans="1:76">
      <c r="A61" s="21"/>
    </row>
    <row r="62" spans="1:76">
      <c r="A62" s="21"/>
    </row>
    <row r="63" spans="1:76">
      <c r="A63" s="21"/>
    </row>
    <row r="64" spans="1:76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  <row r="330" spans="1:1">
      <c r="A330" s="21"/>
    </row>
    <row r="331" spans="1:1">
      <c r="A331" s="21"/>
    </row>
    <row r="332" spans="1:1">
      <c r="A332" s="21"/>
    </row>
    <row r="333" spans="1:1">
      <c r="A333" s="21"/>
    </row>
    <row r="334" spans="1:1">
      <c r="A334" s="21"/>
    </row>
    <row r="335" spans="1:1">
      <c r="A335" s="21"/>
    </row>
    <row r="336" spans="1:1">
      <c r="A336" s="21"/>
    </row>
    <row r="337" spans="1:1">
      <c r="A337" s="21"/>
    </row>
    <row r="338" spans="1:1">
      <c r="A338" s="21"/>
    </row>
    <row r="339" spans="1:1">
      <c r="A339" s="21"/>
    </row>
    <row r="340" spans="1:1">
      <c r="A340" s="21"/>
    </row>
    <row r="341" spans="1:1">
      <c r="A341" s="21"/>
    </row>
    <row r="342" spans="1:1">
      <c r="A342" s="21"/>
    </row>
    <row r="343" spans="1:1">
      <c r="A343" s="21"/>
    </row>
    <row r="344" spans="1:1">
      <c r="A344" s="21"/>
    </row>
    <row r="345" spans="1:1">
      <c r="A345" s="21"/>
    </row>
    <row r="346" spans="1:1">
      <c r="A346" s="21"/>
    </row>
    <row r="347" spans="1:1">
      <c r="A347" s="21"/>
    </row>
    <row r="348" spans="1:1">
      <c r="A348" s="21"/>
    </row>
    <row r="349" spans="1:1">
      <c r="A349" s="21"/>
    </row>
    <row r="350" spans="1:1">
      <c r="A350" s="21"/>
    </row>
    <row r="351" spans="1:1">
      <c r="A351" s="21"/>
    </row>
    <row r="352" spans="1:1">
      <c r="A352" s="21"/>
    </row>
    <row r="353" spans="1:1">
      <c r="A353" s="21"/>
    </row>
    <row r="354" spans="1:1">
      <c r="A354" s="21"/>
    </row>
    <row r="355" spans="1:1">
      <c r="A355" s="21"/>
    </row>
    <row r="356" spans="1:1">
      <c r="A356" s="21"/>
    </row>
    <row r="357" spans="1:1">
      <c r="A357" s="21"/>
    </row>
    <row r="358" spans="1:1">
      <c r="A358" s="21"/>
    </row>
    <row r="359" spans="1:1">
      <c r="A359" s="21"/>
    </row>
    <row r="360" spans="1:1">
      <c r="A360" s="21"/>
    </row>
    <row r="361" spans="1:1">
      <c r="A361" s="21"/>
    </row>
    <row r="362" spans="1:1">
      <c r="A362" s="21"/>
    </row>
    <row r="363" spans="1:1">
      <c r="A363" s="21"/>
    </row>
    <row r="364" spans="1:1">
      <c r="A364" s="21"/>
    </row>
    <row r="365" spans="1:1">
      <c r="A365" s="21"/>
    </row>
    <row r="366" spans="1:1">
      <c r="A366" s="21"/>
    </row>
    <row r="367" spans="1:1">
      <c r="A367" s="21"/>
    </row>
    <row r="368" spans="1:1">
      <c r="A368" s="21"/>
    </row>
    <row r="369" spans="1:1">
      <c r="A369" s="21"/>
    </row>
    <row r="370" spans="1:1">
      <c r="A370" s="21"/>
    </row>
    <row r="371" spans="1:1">
      <c r="A371" s="21"/>
    </row>
    <row r="372" spans="1:1">
      <c r="A372" s="21"/>
    </row>
    <row r="373" spans="1:1">
      <c r="A373" s="21"/>
    </row>
    <row r="374" spans="1:1">
      <c r="A374" s="21"/>
    </row>
    <row r="375" spans="1:1">
      <c r="A375" s="21"/>
    </row>
    <row r="376" spans="1:1">
      <c r="A376" s="21"/>
    </row>
    <row r="377" spans="1:1">
      <c r="A377" s="21"/>
    </row>
    <row r="378" spans="1:1">
      <c r="A378" s="21"/>
    </row>
    <row r="379" spans="1:1">
      <c r="A379" s="21"/>
    </row>
    <row r="380" spans="1:1">
      <c r="A380" s="21"/>
    </row>
    <row r="381" spans="1:1">
      <c r="A381" s="21"/>
    </row>
    <row r="382" spans="1:1">
      <c r="A382" s="21"/>
    </row>
    <row r="383" spans="1:1">
      <c r="A383" s="21"/>
    </row>
    <row r="384" spans="1:1">
      <c r="A384" s="21"/>
    </row>
    <row r="385" spans="1:1">
      <c r="A385" s="21"/>
    </row>
    <row r="386" spans="1:1">
      <c r="A386" s="21"/>
    </row>
    <row r="387" spans="1:1">
      <c r="A387" s="21"/>
    </row>
    <row r="388" spans="1:1">
      <c r="A388" s="21"/>
    </row>
    <row r="389" spans="1:1">
      <c r="A389" s="21"/>
    </row>
    <row r="390" spans="1:1">
      <c r="A390" s="21"/>
    </row>
    <row r="391" spans="1:1">
      <c r="A391" s="21"/>
    </row>
    <row r="392" spans="1:1">
      <c r="A392" s="21"/>
    </row>
    <row r="393" spans="1:1">
      <c r="A393" s="21"/>
    </row>
    <row r="394" spans="1:1">
      <c r="A394" s="21"/>
    </row>
    <row r="395" spans="1:1">
      <c r="A395" s="21"/>
    </row>
    <row r="396" spans="1:1">
      <c r="A396" s="21"/>
    </row>
    <row r="397" spans="1:1">
      <c r="A397" s="21"/>
    </row>
    <row r="398" spans="1:1">
      <c r="A398" s="21"/>
    </row>
    <row r="399" spans="1:1">
      <c r="A399" s="21"/>
    </row>
    <row r="400" spans="1:1">
      <c r="A400" s="21"/>
    </row>
    <row r="401" spans="1:1">
      <c r="A401" s="21"/>
    </row>
    <row r="402" spans="1:1">
      <c r="A402" s="21"/>
    </row>
    <row r="403" spans="1:1">
      <c r="A403" s="21"/>
    </row>
    <row r="404" spans="1:1">
      <c r="A404" s="21"/>
    </row>
    <row r="405" spans="1:1">
      <c r="A405" s="21"/>
    </row>
    <row r="406" spans="1:1">
      <c r="A406" s="21"/>
    </row>
    <row r="407" spans="1:1">
      <c r="A407" s="21"/>
    </row>
    <row r="408" spans="1:1">
      <c r="A408" s="21"/>
    </row>
    <row r="409" spans="1:1">
      <c r="A409" s="21"/>
    </row>
    <row r="410" spans="1:1">
      <c r="A410" s="21"/>
    </row>
    <row r="411" spans="1:1">
      <c r="A411" s="21"/>
    </row>
    <row r="412" spans="1:1">
      <c r="A412" s="21"/>
    </row>
    <row r="413" spans="1:1">
      <c r="A413" s="21"/>
    </row>
    <row r="414" spans="1:1">
      <c r="A414" s="21"/>
    </row>
    <row r="415" spans="1:1">
      <c r="A415" s="21"/>
    </row>
    <row r="416" spans="1:1">
      <c r="A416" s="21"/>
    </row>
    <row r="417" spans="1:1">
      <c r="A417" s="21"/>
    </row>
    <row r="418" spans="1:1">
      <c r="A418" s="21"/>
    </row>
    <row r="419" spans="1:1">
      <c r="A419" s="21"/>
    </row>
    <row r="420" spans="1:1">
      <c r="A420" s="21"/>
    </row>
    <row r="421" spans="1:1">
      <c r="A421" s="21"/>
    </row>
    <row r="422" spans="1:1">
      <c r="A422" s="21"/>
    </row>
    <row r="423" spans="1:1">
      <c r="A423" s="21"/>
    </row>
    <row r="424" spans="1:1">
      <c r="A424" s="21"/>
    </row>
    <row r="425" spans="1:1">
      <c r="A425" s="21"/>
    </row>
    <row r="426" spans="1:1">
      <c r="A426" s="21"/>
    </row>
    <row r="427" spans="1:1">
      <c r="A427" s="21"/>
    </row>
    <row r="428" spans="1:1">
      <c r="A428" s="21"/>
    </row>
    <row r="429" spans="1:1">
      <c r="A429" s="21"/>
    </row>
    <row r="430" spans="1:1">
      <c r="A430" s="21"/>
    </row>
    <row r="431" spans="1:1">
      <c r="A431" s="21"/>
    </row>
    <row r="432" spans="1:1">
      <c r="A432" s="21"/>
    </row>
    <row r="433" spans="1:1">
      <c r="A433" s="21"/>
    </row>
    <row r="434" spans="1:1">
      <c r="A434" s="21"/>
    </row>
    <row r="435" spans="1:1">
      <c r="A435" s="21"/>
    </row>
    <row r="436" spans="1:1">
      <c r="A436" s="21"/>
    </row>
    <row r="437" spans="1:1">
      <c r="A437" s="21"/>
    </row>
    <row r="438" spans="1:1">
      <c r="A438" s="21"/>
    </row>
    <row r="439" spans="1:1">
      <c r="A439" s="21"/>
    </row>
    <row r="440" spans="1:1">
      <c r="A440" s="21"/>
    </row>
    <row r="441" spans="1:1">
      <c r="A441" s="21"/>
    </row>
    <row r="442" spans="1:1">
      <c r="A442" s="21"/>
    </row>
    <row r="443" spans="1:1">
      <c r="A443" s="21"/>
    </row>
    <row r="444" spans="1:1">
      <c r="A444" s="21"/>
    </row>
    <row r="445" spans="1:1">
      <c r="A445" s="21"/>
    </row>
    <row r="446" spans="1:1">
      <c r="A446" s="21"/>
    </row>
    <row r="447" spans="1:1">
      <c r="A447" s="21"/>
    </row>
    <row r="448" spans="1:1">
      <c r="A448" s="21"/>
    </row>
    <row r="449" spans="1:1">
      <c r="A449" s="21"/>
    </row>
    <row r="450" spans="1:1">
      <c r="A450" s="21"/>
    </row>
    <row r="451" spans="1:1">
      <c r="A451" s="21"/>
    </row>
    <row r="452" spans="1:1">
      <c r="A452" s="21"/>
    </row>
    <row r="453" spans="1:1">
      <c r="A453" s="21"/>
    </row>
    <row r="454" spans="1:1">
      <c r="A454" s="21"/>
    </row>
    <row r="455" spans="1:1">
      <c r="A455" s="21"/>
    </row>
    <row r="456" spans="1:1">
      <c r="A456" s="21"/>
    </row>
    <row r="457" spans="1:1">
      <c r="A457" s="21"/>
    </row>
    <row r="458" spans="1:1">
      <c r="A458" s="21"/>
    </row>
    <row r="459" spans="1:1">
      <c r="A459" s="21"/>
    </row>
    <row r="460" spans="1:1">
      <c r="A460" s="21"/>
    </row>
    <row r="461" spans="1:1">
      <c r="A461" s="21"/>
    </row>
    <row r="462" spans="1:1">
      <c r="A462" s="21"/>
    </row>
    <row r="463" spans="1:1">
      <c r="A463" s="21"/>
    </row>
    <row r="464" spans="1:1">
      <c r="A464" s="21"/>
    </row>
    <row r="465" spans="1:1">
      <c r="A465" s="21"/>
    </row>
    <row r="466" spans="1:1">
      <c r="A466" s="21"/>
    </row>
    <row r="467" spans="1:1">
      <c r="A467" s="21"/>
    </row>
    <row r="468" spans="1:1">
      <c r="A468" s="21"/>
    </row>
    <row r="469" spans="1:1">
      <c r="A469" s="21"/>
    </row>
    <row r="470" spans="1:1">
      <c r="A470" s="21"/>
    </row>
    <row r="471" spans="1:1">
      <c r="A471" s="21"/>
    </row>
    <row r="472" spans="1:1">
      <c r="A472" s="21"/>
    </row>
    <row r="473" spans="1:1">
      <c r="A473" s="21"/>
    </row>
    <row r="474" spans="1:1">
      <c r="A474" s="21"/>
    </row>
    <row r="475" spans="1:1">
      <c r="A475" s="21"/>
    </row>
    <row r="476" spans="1:1">
      <c r="A476" s="21"/>
    </row>
    <row r="477" spans="1:1">
      <c r="A477" s="21"/>
    </row>
    <row r="478" spans="1:1">
      <c r="A478" s="21"/>
    </row>
    <row r="479" spans="1:1">
      <c r="A479" s="21"/>
    </row>
    <row r="480" spans="1:1">
      <c r="A480" s="21"/>
    </row>
    <row r="481" spans="1:1">
      <c r="A481" s="21"/>
    </row>
    <row r="482" spans="1:1">
      <c r="A482" s="21"/>
    </row>
    <row r="483" spans="1:1">
      <c r="A483" s="21"/>
    </row>
    <row r="484" spans="1:1">
      <c r="A484" s="21"/>
    </row>
    <row r="485" spans="1:1">
      <c r="A485" s="21"/>
    </row>
    <row r="486" spans="1:1">
      <c r="A486" s="21"/>
    </row>
    <row r="487" spans="1:1">
      <c r="A487" s="21"/>
    </row>
    <row r="488" spans="1:1">
      <c r="A488" s="21"/>
    </row>
    <row r="489" spans="1:1">
      <c r="A489" s="21"/>
    </row>
    <row r="490" spans="1:1">
      <c r="A490" s="21"/>
    </row>
    <row r="491" spans="1:1">
      <c r="A491" s="21"/>
    </row>
    <row r="492" spans="1:1">
      <c r="A492" s="21"/>
    </row>
    <row r="493" spans="1:1">
      <c r="A493" s="21"/>
    </row>
    <row r="494" spans="1:1">
      <c r="A494" s="21"/>
    </row>
    <row r="495" spans="1:1">
      <c r="A495" s="21"/>
    </row>
    <row r="496" spans="1:1">
      <c r="A496" s="21"/>
    </row>
    <row r="497" spans="1:1">
      <c r="A497" s="21"/>
    </row>
    <row r="498" spans="1:1">
      <c r="A498" s="21"/>
    </row>
    <row r="499" spans="1:1">
      <c r="A499" s="21"/>
    </row>
    <row r="500" spans="1:1">
      <c r="A500" s="21"/>
    </row>
    <row r="501" spans="1:1">
      <c r="A501" s="21"/>
    </row>
    <row r="502" spans="1:1">
      <c r="A502" s="21"/>
    </row>
    <row r="503" spans="1:1">
      <c r="A503" s="21"/>
    </row>
    <row r="504" spans="1:1">
      <c r="A504" s="21"/>
    </row>
    <row r="505" spans="1:1">
      <c r="A505" s="21"/>
    </row>
    <row r="506" spans="1:1">
      <c r="A506" s="21"/>
    </row>
    <row r="507" spans="1:1">
      <c r="A507" s="21"/>
    </row>
    <row r="508" spans="1:1">
      <c r="A508" s="21"/>
    </row>
    <row r="509" spans="1:1">
      <c r="A509" s="21"/>
    </row>
    <row r="510" spans="1:1">
      <c r="A510" s="21"/>
    </row>
    <row r="511" spans="1:1">
      <c r="A511" s="21"/>
    </row>
    <row r="512" spans="1:1">
      <c r="A512" s="21"/>
    </row>
    <row r="513" spans="1:1">
      <c r="A513" s="21"/>
    </row>
    <row r="514" spans="1:1">
      <c r="A514" s="21"/>
    </row>
    <row r="515" spans="1:1">
      <c r="A515" s="21"/>
    </row>
    <row r="516" spans="1:1">
      <c r="A516" s="21"/>
    </row>
    <row r="517" spans="1:1">
      <c r="A517" s="21"/>
    </row>
    <row r="518" spans="1:1">
      <c r="A518" s="21"/>
    </row>
    <row r="519" spans="1:1">
      <c r="A519" s="21"/>
    </row>
    <row r="520" spans="1:1">
      <c r="A520" s="21"/>
    </row>
    <row r="521" spans="1:1">
      <c r="A521" s="21"/>
    </row>
    <row r="522" spans="1:1">
      <c r="A522" s="21"/>
    </row>
    <row r="523" spans="1:1">
      <c r="A523" s="21"/>
    </row>
    <row r="524" spans="1:1">
      <c r="A524" s="21"/>
    </row>
    <row r="525" spans="1:1">
      <c r="A525" s="21"/>
    </row>
    <row r="526" spans="1:1">
      <c r="A526" s="21"/>
    </row>
    <row r="527" spans="1:1">
      <c r="A527" s="21"/>
    </row>
    <row r="528" spans="1:1">
      <c r="A528" s="21"/>
    </row>
    <row r="529" spans="1:1">
      <c r="A529" s="21"/>
    </row>
    <row r="530" spans="1:1">
      <c r="A530" s="21"/>
    </row>
    <row r="531" spans="1:1">
      <c r="A531" s="21"/>
    </row>
    <row r="532" spans="1:1">
      <c r="A532" s="21"/>
    </row>
    <row r="533" spans="1:1">
      <c r="A533" s="21"/>
    </row>
    <row r="534" spans="1:1">
      <c r="A534" s="21"/>
    </row>
    <row r="535" spans="1:1">
      <c r="A535" s="21"/>
    </row>
    <row r="536" spans="1:1">
      <c r="A536" s="21"/>
    </row>
    <row r="537" spans="1:1">
      <c r="A537" s="21"/>
    </row>
    <row r="538" spans="1:1">
      <c r="A538" s="21"/>
    </row>
  </sheetData>
  <mergeCells count="23">
    <mergeCell ref="A1:BZ1"/>
    <mergeCell ref="BF2:BL2"/>
    <mergeCell ref="BM2:BS2"/>
    <mergeCell ref="W2:AC2"/>
    <mergeCell ref="AD2:AJ2"/>
    <mergeCell ref="BT2:BZ2"/>
    <mergeCell ref="B2:H2"/>
    <mergeCell ref="I2:O2"/>
    <mergeCell ref="P2:V2"/>
    <mergeCell ref="AK2:AQ2"/>
    <mergeCell ref="AY2:BE2"/>
    <mergeCell ref="AR2:AX2"/>
    <mergeCell ref="B3:F3"/>
    <mergeCell ref="I3:M3"/>
    <mergeCell ref="P3:T3"/>
    <mergeCell ref="W3:AA3"/>
    <mergeCell ref="BT3:BX3"/>
    <mergeCell ref="BM3:BQ3"/>
    <mergeCell ref="BF3:BJ3"/>
    <mergeCell ref="AY3:BC3"/>
    <mergeCell ref="AK3:AO3"/>
    <mergeCell ref="AD3:AH3"/>
    <mergeCell ref="AR3:AV3"/>
  </mergeCells>
  <phoneticPr fontId="0" type="noConversion"/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4" manualBreakCount="4">
    <brk id="15" max="41" man="1"/>
    <brk id="29" max="41" man="1"/>
    <brk id="50" max="41" man="1"/>
    <brk id="64" max="4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  <pageSetUpPr fitToPage="1"/>
  </sheetPr>
  <dimension ref="A1:U67"/>
  <sheetViews>
    <sheetView zoomScaleNormal="100" workbookViewId="0">
      <pane xSplit="1" topLeftCell="E1" activePane="topRight" state="frozen"/>
      <selection activeCell="D15" sqref="D15"/>
      <selection pane="topRight" activeCell="U29" sqref="U29:U30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</cols>
  <sheetData>
    <row r="1" spans="1:21" ht="18.75" thickBot="1">
      <c r="A1" s="747" t="s">
        <v>129</v>
      </c>
      <c r="B1" s="748"/>
      <c r="C1" s="748"/>
      <c r="D1" s="748"/>
      <c r="E1" s="748"/>
      <c r="F1" s="748"/>
      <c r="G1" s="748"/>
      <c r="H1" s="748"/>
      <c r="I1" s="748"/>
      <c r="J1" s="748"/>
      <c r="K1" s="748"/>
      <c r="L1" s="748"/>
      <c r="M1" s="748"/>
      <c r="N1" s="748"/>
      <c r="O1" s="748"/>
      <c r="P1" s="748"/>
      <c r="Q1" s="748"/>
      <c r="R1" s="12"/>
    </row>
    <row r="2" spans="1:21" ht="13.5" thickBot="1">
      <c r="A2" s="103"/>
      <c r="B2" s="749" t="s">
        <v>0</v>
      </c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51"/>
      <c r="S2" s="745"/>
      <c r="T2" s="745"/>
      <c r="U2" s="746"/>
    </row>
    <row r="3" spans="1:21" ht="13.5" thickBot="1">
      <c r="A3" s="163"/>
      <c r="B3" s="749" t="s">
        <v>113</v>
      </c>
      <c r="C3" s="750"/>
      <c r="D3" s="750"/>
      <c r="E3" s="752"/>
      <c r="F3" s="749" t="s">
        <v>100</v>
      </c>
      <c r="G3" s="750"/>
      <c r="H3" s="750"/>
      <c r="I3" s="752"/>
      <c r="J3" s="749" t="s">
        <v>33</v>
      </c>
      <c r="K3" s="750"/>
      <c r="L3" s="750"/>
      <c r="M3" s="752"/>
      <c r="N3" s="742" t="s">
        <v>34</v>
      </c>
      <c r="O3" s="743"/>
      <c r="P3" s="743"/>
      <c r="Q3" s="743"/>
      <c r="R3" s="753" t="s">
        <v>1</v>
      </c>
      <c r="S3" s="754"/>
      <c r="T3" s="754"/>
      <c r="U3" s="755"/>
    </row>
    <row r="4" spans="1:21" ht="13.5" thickBot="1">
      <c r="A4" s="77" t="s">
        <v>4</v>
      </c>
      <c r="B4" s="556" t="s">
        <v>36</v>
      </c>
      <c r="C4" s="557" t="s">
        <v>37</v>
      </c>
      <c r="D4" s="557" t="s">
        <v>38</v>
      </c>
      <c r="E4" s="558" t="s">
        <v>2</v>
      </c>
      <c r="F4" s="556" t="s">
        <v>36</v>
      </c>
      <c r="G4" s="557" t="s">
        <v>37</v>
      </c>
      <c r="H4" s="557" t="s">
        <v>38</v>
      </c>
      <c r="I4" s="558" t="s">
        <v>2</v>
      </c>
      <c r="J4" s="556" t="s">
        <v>36</v>
      </c>
      <c r="K4" s="557" t="s">
        <v>37</v>
      </c>
      <c r="L4" s="557" t="s">
        <v>38</v>
      </c>
      <c r="M4" s="558" t="s">
        <v>2</v>
      </c>
      <c r="N4" s="556" t="s">
        <v>36</v>
      </c>
      <c r="O4" s="557" t="s">
        <v>37</v>
      </c>
      <c r="P4" s="557" t="s">
        <v>38</v>
      </c>
      <c r="Q4" s="558" t="s">
        <v>2</v>
      </c>
      <c r="R4" s="556" t="s">
        <v>36</v>
      </c>
      <c r="S4" s="557" t="s">
        <v>37</v>
      </c>
      <c r="T4" s="557" t="s">
        <v>38</v>
      </c>
      <c r="U4" s="558" t="s">
        <v>2</v>
      </c>
    </row>
    <row r="5" spans="1:21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</row>
    <row r="6" spans="1:21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</row>
    <row r="7" spans="1:21">
      <c r="A7" s="124" t="s">
        <v>5</v>
      </c>
      <c r="B7" s="408">
        <v>245.39104820707465</v>
      </c>
      <c r="C7" s="407">
        <v>138.7130210066349</v>
      </c>
      <c r="D7" s="407">
        <v>195.54777786497777</v>
      </c>
      <c r="E7" s="41">
        <f>SUM(B7:D7)</f>
        <v>579.6518470786873</v>
      </c>
      <c r="F7" s="408">
        <v>290.98144300778256</v>
      </c>
      <c r="G7" s="407">
        <v>754.14273000301057</v>
      </c>
      <c r="H7" s="407">
        <v>320.979864781</v>
      </c>
      <c r="I7" s="41">
        <f>SUM(F7:H7)</f>
        <v>1366.1040377917932</v>
      </c>
      <c r="J7" s="408">
        <v>305.95670573403169</v>
      </c>
      <c r="K7" s="407">
        <v>754.14273000301057</v>
      </c>
      <c r="L7" s="407">
        <v>320.979864781</v>
      </c>
      <c r="M7" s="41">
        <f>SUM(J7:L7)</f>
        <v>1381.0793005180424</v>
      </c>
      <c r="N7" s="408">
        <v>360.9076494190582</v>
      </c>
      <c r="O7" s="407">
        <v>754.14273000301057</v>
      </c>
      <c r="P7" s="407">
        <v>320.979864781</v>
      </c>
      <c r="Q7" s="41">
        <f>SUM(N7:P7)</f>
        <v>1436.0302442030688</v>
      </c>
      <c r="R7" s="113"/>
      <c r="S7" s="407">
        <v>3870.6678530329991</v>
      </c>
      <c r="T7" s="407">
        <v>859.70626207999999</v>
      </c>
      <c r="U7" s="41">
        <f>SUM(R7:T7)</f>
        <v>4730.3741151129989</v>
      </c>
    </row>
    <row r="8" spans="1:21">
      <c r="A8" s="124" t="s">
        <v>6</v>
      </c>
      <c r="B8" s="408">
        <v>771.22900865080612</v>
      </c>
      <c r="C8" s="407">
        <v>138.7130210066349</v>
      </c>
      <c r="D8" s="407">
        <v>195.54777786497777</v>
      </c>
      <c r="E8" s="41">
        <f t="shared" ref="E8:E16" si="0">SUM(B8:D8)</f>
        <v>1105.4898075224187</v>
      </c>
      <c r="F8" s="408">
        <v>872.94432902334779</v>
      </c>
      <c r="G8" s="407">
        <v>754.14273000301057</v>
      </c>
      <c r="H8" s="407">
        <v>320.979864781</v>
      </c>
      <c r="I8" s="41">
        <f t="shared" ref="I8:I17" si="1">SUM(F8:H8)</f>
        <v>1948.0669238073585</v>
      </c>
      <c r="J8" s="408">
        <v>917.870117202095</v>
      </c>
      <c r="K8" s="407">
        <v>754.14273000301057</v>
      </c>
      <c r="L8" s="407">
        <v>320.979864781</v>
      </c>
      <c r="M8" s="41">
        <f t="shared" ref="M8:M23" si="2">SUM(J8:L8)</f>
        <v>1992.9927119861056</v>
      </c>
      <c r="N8" s="408">
        <v>1082.7229482571745</v>
      </c>
      <c r="O8" s="407">
        <v>754.14273000301057</v>
      </c>
      <c r="P8" s="407">
        <v>320.979864781</v>
      </c>
      <c r="Q8" s="41">
        <f t="shared" ref="Q8:Q30" si="3">SUM(N8:P8)</f>
        <v>2157.845543041185</v>
      </c>
      <c r="R8" s="113"/>
      <c r="S8" s="407">
        <v>3870.6678530329991</v>
      </c>
      <c r="T8" s="407">
        <v>859.70626207999999</v>
      </c>
      <c r="U8" s="41">
        <f t="shared" ref="U8:U19" si="4">SUM(R8:T8)</f>
        <v>4730.3741151129989</v>
      </c>
    </row>
    <row r="9" spans="1:21">
      <c r="A9" s="124" t="s">
        <v>7</v>
      </c>
      <c r="B9" s="408">
        <v>674.82538256945531</v>
      </c>
      <c r="C9" s="407">
        <v>195.52229201326981</v>
      </c>
      <c r="D9" s="407">
        <v>195.54777786497777</v>
      </c>
      <c r="E9" s="41">
        <f t="shared" si="0"/>
        <v>1065.8954524477031</v>
      </c>
      <c r="F9" s="408">
        <v>1745.8886580466956</v>
      </c>
      <c r="G9" s="407">
        <v>888.28562532861781</v>
      </c>
      <c r="H9" s="407">
        <v>320.979864781</v>
      </c>
      <c r="I9" s="41">
        <f t="shared" si="1"/>
        <v>2955.1541481563131</v>
      </c>
      <c r="J9" s="408">
        <v>1835.74023440419</v>
      </c>
      <c r="K9" s="407">
        <v>888.28562532861781</v>
      </c>
      <c r="L9" s="407">
        <v>320.979864781</v>
      </c>
      <c r="M9" s="41">
        <f t="shared" si="2"/>
        <v>3045.0057245138078</v>
      </c>
      <c r="N9" s="408">
        <v>2165.445896514349</v>
      </c>
      <c r="O9" s="407">
        <v>888.28562532861781</v>
      </c>
      <c r="P9" s="407">
        <v>320.979864781</v>
      </c>
      <c r="Q9" s="41">
        <f t="shared" si="3"/>
        <v>3374.7113866239665</v>
      </c>
      <c r="R9" s="113"/>
      <c r="S9" s="407">
        <v>3870.6678530329991</v>
      </c>
      <c r="T9" s="407">
        <v>859.70626207999999</v>
      </c>
      <c r="U9" s="41">
        <f t="shared" si="4"/>
        <v>4730.3741151129989</v>
      </c>
    </row>
    <row r="10" spans="1:21">
      <c r="A10" s="124" t="s">
        <v>110</v>
      </c>
      <c r="B10" s="408">
        <v>1349.6507651389106</v>
      </c>
      <c r="C10" s="407">
        <v>213.73179817905475</v>
      </c>
      <c r="D10" s="407">
        <v>195.54777786497777</v>
      </c>
      <c r="E10" s="41">
        <f t="shared" si="0"/>
        <v>1758.9303411829433</v>
      </c>
      <c r="F10" s="408">
        <v>4364.7216451167387</v>
      </c>
      <c r="G10" s="407">
        <v>888.28562532861781</v>
      </c>
      <c r="H10" s="407">
        <v>320.979864781</v>
      </c>
      <c r="I10" s="41">
        <f t="shared" si="1"/>
        <v>5573.9871352263572</v>
      </c>
      <c r="J10" s="408">
        <v>4589.3505860104751</v>
      </c>
      <c r="K10" s="407">
        <v>888.28562532861781</v>
      </c>
      <c r="L10" s="407">
        <v>320.979864781</v>
      </c>
      <c r="M10" s="41">
        <f t="shared" si="2"/>
        <v>5798.6160761200936</v>
      </c>
      <c r="N10" s="408">
        <v>5413.6147412858727</v>
      </c>
      <c r="O10" s="407">
        <v>888.28562532861781</v>
      </c>
      <c r="P10" s="407">
        <v>320.979864781</v>
      </c>
      <c r="Q10" s="41">
        <f t="shared" si="3"/>
        <v>6622.8802313954911</v>
      </c>
      <c r="R10" s="113"/>
      <c r="S10" s="407">
        <v>3870.6678530329991</v>
      </c>
      <c r="T10" s="407">
        <v>859.70626207999999</v>
      </c>
      <c r="U10" s="41">
        <f t="shared" si="4"/>
        <v>4730.3741151129989</v>
      </c>
    </row>
    <row r="11" spans="1:21">
      <c r="A11" s="124" t="s">
        <v>102</v>
      </c>
      <c r="B11" s="408">
        <v>1349.6507651389106</v>
      </c>
      <c r="C11" s="407">
        <v>213.73179817905475</v>
      </c>
      <c r="D11" s="407">
        <v>195.54777786497777</v>
      </c>
      <c r="E11" s="41">
        <f t="shared" si="0"/>
        <v>1758.9303411829433</v>
      </c>
      <c r="F11" s="408">
        <v>4364.7216451167387</v>
      </c>
      <c r="G11" s="407">
        <v>888.28562532861781</v>
      </c>
      <c r="H11" s="407">
        <v>320.979864781</v>
      </c>
      <c r="I11" s="41">
        <f t="shared" si="1"/>
        <v>5573.9871352263572</v>
      </c>
      <c r="J11" s="408">
        <v>4589.3505860104751</v>
      </c>
      <c r="K11" s="407">
        <v>888.28562532861781</v>
      </c>
      <c r="L11" s="407">
        <v>320.979864781</v>
      </c>
      <c r="M11" s="41">
        <f t="shared" si="2"/>
        <v>5798.6160761200936</v>
      </c>
      <c r="N11" s="408">
        <v>5413.6147412858727</v>
      </c>
      <c r="O11" s="407">
        <v>888.28562532861781</v>
      </c>
      <c r="P11" s="407">
        <v>320.979864781</v>
      </c>
      <c r="Q11" s="41">
        <f t="shared" si="3"/>
        <v>6622.8802313954911</v>
      </c>
      <c r="R11" s="113"/>
      <c r="S11" s="407">
        <v>3870.6678530329991</v>
      </c>
      <c r="T11" s="407">
        <v>859.70626207999999</v>
      </c>
      <c r="U11" s="41">
        <f t="shared" si="4"/>
        <v>4730.3741151129989</v>
      </c>
    </row>
    <row r="12" spans="1:21">
      <c r="A12" s="124" t="s">
        <v>8</v>
      </c>
      <c r="B12" s="408">
        <v>1450.0172593464001</v>
      </c>
      <c r="C12" s="407">
        <v>515.2781532122292</v>
      </c>
      <c r="D12" s="407">
        <v>195.54777786497777</v>
      </c>
      <c r="E12" s="41">
        <f t="shared" si="0"/>
        <v>2160.8431904236072</v>
      </c>
      <c r="F12" s="408">
        <v>8729.4432902334775</v>
      </c>
      <c r="G12" s="407">
        <v>1156.5714159798322</v>
      </c>
      <c r="H12" s="407">
        <v>320.979864781</v>
      </c>
      <c r="I12" s="41">
        <f t="shared" si="1"/>
        <v>10206.994570994309</v>
      </c>
      <c r="J12" s="408">
        <v>9178.7011720209503</v>
      </c>
      <c r="K12" s="407">
        <v>1156.5714159798322</v>
      </c>
      <c r="L12" s="407">
        <v>320.979864781</v>
      </c>
      <c r="M12" s="41">
        <f t="shared" si="2"/>
        <v>10656.252452781782</v>
      </c>
      <c r="N12" s="408">
        <v>7218.1529883811636</v>
      </c>
      <c r="O12" s="407">
        <v>1156.5714159798322</v>
      </c>
      <c r="P12" s="407">
        <v>320.979864781</v>
      </c>
      <c r="Q12" s="41">
        <f t="shared" si="3"/>
        <v>8695.7042691419956</v>
      </c>
      <c r="R12" s="113"/>
      <c r="S12" s="407">
        <v>3870.6678530329991</v>
      </c>
      <c r="T12" s="407">
        <v>859.70626207999999</v>
      </c>
      <c r="U12" s="41">
        <f t="shared" si="4"/>
        <v>4730.3741151129989</v>
      </c>
    </row>
    <row r="13" spans="1:21">
      <c r="A13" s="124" t="s">
        <v>9</v>
      </c>
      <c r="B13" s="408">
        <v>3184.4593349418897</v>
      </c>
      <c r="C13" s="407">
        <v>830.17368518837884</v>
      </c>
      <c r="D13" s="407">
        <v>195.54777786497777</v>
      </c>
      <c r="E13" s="41">
        <f t="shared" si="0"/>
        <v>4210.1807979952464</v>
      </c>
      <c r="F13" s="408">
        <v>17458.886580466955</v>
      </c>
      <c r="G13" s="407">
        <v>1781.4759788251249</v>
      </c>
      <c r="H13" s="407">
        <v>320.979864781</v>
      </c>
      <c r="I13" s="41">
        <f t="shared" si="1"/>
        <v>19561.342424073078</v>
      </c>
      <c r="J13" s="408">
        <v>18357.402344041901</v>
      </c>
      <c r="K13" s="407">
        <v>1781.4759788251249</v>
      </c>
      <c r="L13" s="407">
        <v>320.979864781</v>
      </c>
      <c r="M13" s="41">
        <f t="shared" si="2"/>
        <v>20459.858187648024</v>
      </c>
      <c r="N13" s="408">
        <v>10827.229482571745</v>
      </c>
      <c r="O13" s="407">
        <v>1156.5714159798322</v>
      </c>
      <c r="P13" s="407">
        <v>320.979864781</v>
      </c>
      <c r="Q13" s="41">
        <f t="shared" si="3"/>
        <v>12304.780763332577</v>
      </c>
      <c r="R13" s="113"/>
      <c r="S13" s="407">
        <v>3870.6678530329991</v>
      </c>
      <c r="T13" s="407">
        <v>859.70626207999999</v>
      </c>
      <c r="U13" s="41">
        <f t="shared" si="4"/>
        <v>4730.3741151129989</v>
      </c>
    </row>
    <row r="14" spans="1:21">
      <c r="A14" s="124" t="s">
        <v>10</v>
      </c>
      <c r="B14" s="408">
        <v>3052.2140189408547</v>
      </c>
      <c r="C14" s="407">
        <v>1578.4436203767575</v>
      </c>
      <c r="D14" s="407">
        <v>195.54777786497777</v>
      </c>
      <c r="E14" s="41">
        <f t="shared" si="0"/>
        <v>4826.2054171825894</v>
      </c>
      <c r="F14" s="408">
        <v>10312.778791627177</v>
      </c>
      <c r="G14" s="407">
        <v>1781.4759788251249</v>
      </c>
      <c r="H14" s="407">
        <v>320.979864781</v>
      </c>
      <c r="I14" s="41">
        <f t="shared" si="1"/>
        <v>12415.234635233302</v>
      </c>
      <c r="J14" s="408">
        <v>10632.265611560561</v>
      </c>
      <c r="K14" s="407">
        <v>1781.4759788251249</v>
      </c>
      <c r="L14" s="407">
        <v>320.979864781</v>
      </c>
      <c r="M14" s="41">
        <f t="shared" si="2"/>
        <v>12734.721455166686</v>
      </c>
      <c r="N14" s="408">
        <v>10827.229482571745</v>
      </c>
      <c r="O14" s="407">
        <v>1781.4759788251249</v>
      </c>
      <c r="P14" s="407">
        <v>320.979864781</v>
      </c>
      <c r="Q14" s="41">
        <f t="shared" si="3"/>
        <v>12929.685326177871</v>
      </c>
      <c r="R14" s="113"/>
      <c r="S14" s="407">
        <v>3870.6678530329991</v>
      </c>
      <c r="T14" s="407">
        <v>859.70626207999999</v>
      </c>
      <c r="U14" s="41">
        <f t="shared" si="4"/>
        <v>4730.3741151129989</v>
      </c>
    </row>
    <row r="15" spans="1:21">
      <c r="A15" s="124" t="s">
        <v>11</v>
      </c>
      <c r="B15" s="408">
        <v>6104.4280378817093</v>
      </c>
      <c r="C15" s="407">
        <v>2326.7135555651362</v>
      </c>
      <c r="D15" s="407">
        <v>195.54777786497777</v>
      </c>
      <c r="E15" s="41">
        <f t="shared" si="0"/>
        <v>8626.6893713118243</v>
      </c>
      <c r="F15" s="408">
        <v>10312.778791627177</v>
      </c>
      <c r="G15" s="407">
        <v>3562.9519576502498</v>
      </c>
      <c r="H15" s="407">
        <v>320.979864781</v>
      </c>
      <c r="I15" s="41">
        <f t="shared" si="1"/>
        <v>14196.710614058427</v>
      </c>
      <c r="J15" s="408">
        <v>21264.531223121121</v>
      </c>
      <c r="K15" s="407">
        <v>3562.9519576502498</v>
      </c>
      <c r="L15" s="407">
        <v>320.979864781</v>
      </c>
      <c r="M15" s="41">
        <f t="shared" si="2"/>
        <v>25148.463045552369</v>
      </c>
      <c r="N15" s="408">
        <v>21654.458965143491</v>
      </c>
      <c r="O15" s="407">
        <v>1781.4759788251249</v>
      </c>
      <c r="P15" s="407">
        <v>320.979864781</v>
      </c>
      <c r="Q15" s="41">
        <f t="shared" si="3"/>
        <v>23756.914808749614</v>
      </c>
      <c r="R15" s="113"/>
      <c r="S15" s="407">
        <v>3870.6678530329991</v>
      </c>
      <c r="T15" s="407">
        <v>859.70626207999999</v>
      </c>
      <c r="U15" s="41">
        <f t="shared" si="4"/>
        <v>4730.3741151129989</v>
      </c>
    </row>
    <row r="16" spans="1:21">
      <c r="A16" s="124" t="s">
        <v>106</v>
      </c>
      <c r="B16" s="408">
        <v>8622.4294367037546</v>
      </c>
      <c r="C16" s="407">
        <v>2326.7135555651362</v>
      </c>
      <c r="D16" s="407">
        <v>195.54777786497777</v>
      </c>
      <c r="E16" s="41">
        <f t="shared" si="0"/>
        <v>11144.69077013387</v>
      </c>
      <c r="F16" s="408">
        <v>20625.557583254355</v>
      </c>
      <c r="G16" s="407">
        <v>4799.9629618624504</v>
      </c>
      <c r="H16" s="407">
        <v>320.979864781</v>
      </c>
      <c r="I16" s="41">
        <f t="shared" si="1"/>
        <v>25746.500409897802</v>
      </c>
      <c r="J16" s="408">
        <v>11980.265558589947</v>
      </c>
      <c r="K16" s="407">
        <v>4799.9629618624504</v>
      </c>
      <c r="L16" s="407">
        <v>320.979864781</v>
      </c>
      <c r="M16" s="41">
        <f t="shared" si="2"/>
        <v>17101.208385233396</v>
      </c>
      <c r="N16" s="408">
        <v>11342.068843866331</v>
      </c>
      <c r="O16" s="407">
        <v>2399.9814809312252</v>
      </c>
      <c r="P16" s="407">
        <v>320.979864781</v>
      </c>
      <c r="Q16" s="41">
        <f t="shared" si="3"/>
        <v>14063.030189578556</v>
      </c>
      <c r="R16" s="113"/>
      <c r="S16" s="407">
        <v>3870.6678530329991</v>
      </c>
      <c r="T16" s="407">
        <v>859.70626207999999</v>
      </c>
      <c r="U16" s="41">
        <f t="shared" si="4"/>
        <v>4730.3741151129989</v>
      </c>
    </row>
    <row r="17" spans="1:21">
      <c r="A17" s="124" t="s">
        <v>107</v>
      </c>
      <c r="B17" s="113"/>
      <c r="C17" s="98"/>
      <c r="D17" s="98"/>
      <c r="E17" s="41"/>
      <c r="F17" s="408">
        <v>20625.557583254355</v>
      </c>
      <c r="G17" s="407">
        <v>4799.9629618624504</v>
      </c>
      <c r="H17" s="407">
        <v>320.979864781</v>
      </c>
      <c r="I17" s="41">
        <f t="shared" si="1"/>
        <v>25746.500409897802</v>
      </c>
      <c r="J17" s="408">
        <v>11980.265558589947</v>
      </c>
      <c r="K17" s="407">
        <v>4799.9629618624504</v>
      </c>
      <c r="L17" s="407">
        <v>320.979864781</v>
      </c>
      <c r="M17" s="41">
        <f t="shared" si="2"/>
        <v>17101.208385233396</v>
      </c>
      <c r="N17" s="408">
        <v>11342.068843866331</v>
      </c>
      <c r="O17" s="407">
        <v>2399.9814809312252</v>
      </c>
      <c r="P17" s="407">
        <v>320.979864781</v>
      </c>
      <c r="Q17" s="41">
        <f t="shared" si="3"/>
        <v>14063.030189578556</v>
      </c>
      <c r="R17" s="113"/>
      <c r="S17" s="407">
        <v>3870.6678530329991</v>
      </c>
      <c r="T17" s="407">
        <v>859.70626207999999</v>
      </c>
      <c r="U17" s="41">
        <f t="shared" si="4"/>
        <v>4730.3741151129989</v>
      </c>
    </row>
    <row r="18" spans="1:21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408">
        <v>23960.531117179893</v>
      </c>
      <c r="K18" s="407">
        <v>7831.0276978534475</v>
      </c>
      <c r="L18" s="407">
        <v>320.979864781</v>
      </c>
      <c r="M18" s="41">
        <f t="shared" si="2"/>
        <v>32112.538679814341</v>
      </c>
      <c r="N18" s="408">
        <v>22684.137687732662</v>
      </c>
      <c r="O18" s="407">
        <v>3915.5138489267238</v>
      </c>
      <c r="P18" s="407">
        <v>320.979864781</v>
      </c>
      <c r="Q18" s="41">
        <f t="shared" si="3"/>
        <v>26920.631401440383</v>
      </c>
      <c r="R18" s="113"/>
      <c r="S18" s="407">
        <v>3870.6678530329991</v>
      </c>
      <c r="T18" s="407">
        <v>859.70626207999999</v>
      </c>
      <c r="U18" s="41">
        <f t="shared" si="4"/>
        <v>4730.3741151129989</v>
      </c>
    </row>
    <row r="19" spans="1:21">
      <c r="A19" s="124" t="s">
        <v>13</v>
      </c>
      <c r="B19" s="113"/>
      <c r="C19" s="98"/>
      <c r="D19" s="98"/>
      <c r="E19" s="41"/>
      <c r="F19" s="113"/>
      <c r="G19" s="98"/>
      <c r="H19" s="98"/>
      <c r="I19" s="41"/>
      <c r="J19" s="408">
        <v>30684.970824404387</v>
      </c>
      <c r="K19" s="407">
        <v>11746.541546780172</v>
      </c>
      <c r="L19" s="407">
        <v>320.979864781</v>
      </c>
      <c r="M19" s="41">
        <f t="shared" si="2"/>
        <v>42752.492235965561</v>
      </c>
      <c r="N19" s="408">
        <v>22684.137687732662</v>
      </c>
      <c r="O19" s="407">
        <v>4799.9629618624504</v>
      </c>
      <c r="P19" s="407">
        <v>320.979864781</v>
      </c>
      <c r="Q19" s="41">
        <f t="shared" si="3"/>
        <v>27805.08051437611</v>
      </c>
      <c r="R19" s="113"/>
      <c r="S19" s="407">
        <v>3870.6678530329991</v>
      </c>
      <c r="T19" s="407">
        <v>859.70626207999999</v>
      </c>
      <c r="U19" s="41">
        <f t="shared" si="4"/>
        <v>4730.3741151129989</v>
      </c>
    </row>
    <row r="20" spans="1:21">
      <c r="A20" s="124" t="s">
        <v>108</v>
      </c>
      <c r="B20" s="113"/>
      <c r="C20" s="98"/>
      <c r="D20" s="98"/>
      <c r="E20" s="41"/>
      <c r="F20" s="113"/>
      <c r="G20" s="98"/>
      <c r="H20" s="98"/>
      <c r="I20" s="41"/>
      <c r="J20" s="408">
        <v>20736.649964965192</v>
      </c>
      <c r="K20" s="407">
        <v>11746.541546780172</v>
      </c>
      <c r="L20" s="407">
        <v>320.979864781</v>
      </c>
      <c r="M20" s="41">
        <f t="shared" si="2"/>
        <v>32804.171376526363</v>
      </c>
      <c r="N20" s="408">
        <v>17521.618447137709</v>
      </c>
      <c r="O20" s="407">
        <v>4799.9629618624504</v>
      </c>
      <c r="P20" s="407">
        <v>320.979864781</v>
      </c>
      <c r="Q20" s="41">
        <f>SUM(N20:P20)</f>
        <v>22642.561273781157</v>
      </c>
      <c r="R20" s="113"/>
      <c r="S20" s="407">
        <v>3870.6678530329991</v>
      </c>
      <c r="T20" s="407">
        <v>859.70626207999999</v>
      </c>
      <c r="U20" s="41">
        <f>SUM(R20:T20)</f>
        <v>4730.3741151129989</v>
      </c>
    </row>
    <row r="21" spans="1:21">
      <c r="A21" s="124" t="s">
        <v>109</v>
      </c>
      <c r="B21" s="113"/>
      <c r="C21" s="98"/>
      <c r="D21" s="98"/>
      <c r="E21" s="41"/>
      <c r="F21" s="113"/>
      <c r="G21" s="98"/>
      <c r="H21" s="98"/>
      <c r="I21" s="41"/>
      <c r="J21" s="408">
        <v>20736.649964965192</v>
      </c>
      <c r="K21" s="407">
        <v>11746.541546780172</v>
      </c>
      <c r="L21" s="407">
        <v>320.979864781</v>
      </c>
      <c r="M21" s="41">
        <f t="shared" si="2"/>
        <v>32804.171376526363</v>
      </c>
      <c r="N21" s="408">
        <v>17521.618447137709</v>
      </c>
      <c r="O21" s="407">
        <v>4799.9629618624504</v>
      </c>
      <c r="P21" s="407">
        <v>320.979864781</v>
      </c>
      <c r="Q21" s="41">
        <f t="shared" si="3"/>
        <v>22642.561273781157</v>
      </c>
      <c r="R21" s="113"/>
      <c r="S21" s="407">
        <v>3870.6678530329991</v>
      </c>
      <c r="T21" s="407">
        <v>859.70626207999999</v>
      </c>
      <c r="U21" s="41">
        <f t="shared" ref="U21:U30" si="5">SUM(R21:T21)</f>
        <v>4730.3741151129989</v>
      </c>
    </row>
    <row r="22" spans="1:21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408">
        <v>20736.649964965192</v>
      </c>
      <c r="K22" s="407">
        <v>15662.055395706895</v>
      </c>
      <c r="L22" s="407">
        <v>320.979864781</v>
      </c>
      <c r="M22" s="41">
        <f t="shared" si="2"/>
        <v>36719.68522545309</v>
      </c>
      <c r="N22" s="408">
        <v>17521.618447137709</v>
      </c>
      <c r="O22" s="407">
        <v>7831.0276978534475</v>
      </c>
      <c r="P22" s="407">
        <v>320.979864781</v>
      </c>
      <c r="Q22" s="41">
        <f t="shared" si="3"/>
        <v>25673.626009772157</v>
      </c>
      <c r="R22" s="113"/>
      <c r="S22" s="407">
        <v>3870.6678530329991</v>
      </c>
      <c r="T22" s="407">
        <v>859.70626207999999</v>
      </c>
      <c r="U22" s="41">
        <f t="shared" si="5"/>
        <v>4730.3741151129989</v>
      </c>
    </row>
    <row r="23" spans="1:21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408">
        <v>24346.636715062614</v>
      </c>
      <c r="K23" s="407">
        <v>19577.569244633622</v>
      </c>
      <c r="L23" s="407">
        <v>320.979864781</v>
      </c>
      <c r="M23" s="41">
        <f t="shared" si="2"/>
        <v>44245.185824477237</v>
      </c>
      <c r="N23" s="408">
        <v>21241.565827961535</v>
      </c>
      <c r="O23" s="407">
        <v>7831.0276978534475</v>
      </c>
      <c r="P23" s="407">
        <v>320.979864781</v>
      </c>
      <c r="Q23" s="41">
        <f t="shared" si="3"/>
        <v>29393.573390595982</v>
      </c>
      <c r="R23" s="113"/>
      <c r="S23" s="407">
        <v>3870.6678530329991</v>
      </c>
      <c r="T23" s="407">
        <v>859.70626207999999</v>
      </c>
      <c r="U23" s="41">
        <f t="shared" si="5"/>
        <v>4730.3741151129989</v>
      </c>
    </row>
    <row r="24" spans="1:21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408">
        <v>48693.273430125228</v>
      </c>
      <c r="K24" s="407">
        <v>23493.083093560344</v>
      </c>
      <c r="L24" s="407">
        <v>320.979864781</v>
      </c>
      <c r="M24" s="41">
        <f>SUM(J24:L24)</f>
        <v>72507.33638846656</v>
      </c>
      <c r="N24" s="408">
        <v>42483.131655923069</v>
      </c>
      <c r="O24" s="407">
        <v>7831.0276978534475</v>
      </c>
      <c r="P24" s="407">
        <v>320.979864781</v>
      </c>
      <c r="Q24" s="41">
        <f t="shared" si="3"/>
        <v>50635.139218557517</v>
      </c>
      <c r="R24" s="113"/>
      <c r="S24" s="407">
        <v>3870.6678530329991</v>
      </c>
      <c r="T24" s="407">
        <v>859.70626207999999</v>
      </c>
      <c r="U24" s="41">
        <f t="shared" si="5"/>
        <v>4730.3741151129989</v>
      </c>
    </row>
    <row r="25" spans="1:21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408">
        <v>48693.273430125228</v>
      </c>
      <c r="K25" s="407">
        <v>35239.624640340517</v>
      </c>
      <c r="L25" s="407">
        <v>320.979864781</v>
      </c>
      <c r="M25" s="41">
        <f>SUM(J25:L25)</f>
        <v>84253.877935246739</v>
      </c>
      <c r="N25" s="408">
        <v>24541.349087566312</v>
      </c>
      <c r="O25" s="407">
        <v>11746.541546780172</v>
      </c>
      <c r="P25" s="407">
        <v>320.979864781</v>
      </c>
      <c r="Q25" s="41">
        <f t="shared" si="3"/>
        <v>36608.870499127486</v>
      </c>
      <c r="R25" s="113"/>
      <c r="S25" s="407">
        <v>3870.6678530329991</v>
      </c>
      <c r="T25" s="407">
        <v>859.70626207999999</v>
      </c>
      <c r="U25" s="41">
        <f t="shared" si="5"/>
        <v>4730.3741151129989</v>
      </c>
    </row>
    <row r="26" spans="1:21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408">
        <v>48693.273430125228</v>
      </c>
      <c r="K26" s="407">
        <v>46986.166187120689</v>
      </c>
      <c r="L26" s="407">
        <v>320.979864781</v>
      </c>
      <c r="M26" s="41">
        <f>SUM(J26:L26)</f>
        <v>96000.419482026919</v>
      </c>
      <c r="N26" s="408">
        <v>49082.698175132624</v>
      </c>
      <c r="O26" s="407">
        <v>15662.055395706895</v>
      </c>
      <c r="P26" s="407">
        <v>320.979864781</v>
      </c>
      <c r="Q26" s="41">
        <f t="shared" si="3"/>
        <v>65065.733435620517</v>
      </c>
      <c r="R26" s="113"/>
      <c r="S26" s="407">
        <v>3870.6678530329991</v>
      </c>
      <c r="T26" s="407">
        <v>859.70626207999999</v>
      </c>
      <c r="U26" s="41">
        <f t="shared" si="5"/>
        <v>4730.3741151129989</v>
      </c>
    </row>
    <row r="27" spans="1:21">
      <c r="A27" s="124" t="s">
        <v>19</v>
      </c>
      <c r="B27" s="113"/>
      <c r="C27" s="98"/>
      <c r="D27" s="98"/>
      <c r="E27" s="41"/>
      <c r="F27" s="113"/>
      <c r="G27" s="98"/>
      <c r="H27" s="98"/>
      <c r="I27" s="41"/>
      <c r="J27" s="408">
        <v>48693.273430125228</v>
      </c>
      <c r="K27" s="407">
        <v>46986.166187120689</v>
      </c>
      <c r="L27" s="407">
        <v>320.979864781</v>
      </c>
      <c r="M27" s="41">
        <f>SUM(J27:L27)</f>
        <v>96000.419482026919</v>
      </c>
      <c r="N27" s="408">
        <v>49082.698175132624</v>
      </c>
      <c r="O27" s="407">
        <v>19577.569244633622</v>
      </c>
      <c r="P27" s="407">
        <v>320.979864781</v>
      </c>
      <c r="Q27" s="41">
        <f t="shared" si="3"/>
        <v>68981.247284547237</v>
      </c>
      <c r="R27" s="113"/>
      <c r="S27" s="407">
        <v>3870.6678530329991</v>
      </c>
      <c r="T27" s="407">
        <v>859.70626207999999</v>
      </c>
      <c r="U27" s="41">
        <f t="shared" si="5"/>
        <v>4730.3741151129989</v>
      </c>
    </row>
    <row r="28" spans="1:21">
      <c r="A28" s="124" t="s">
        <v>20</v>
      </c>
      <c r="B28" s="113"/>
      <c r="C28" s="98"/>
      <c r="D28" s="98"/>
      <c r="E28" s="41"/>
      <c r="F28" s="113"/>
      <c r="G28" s="98"/>
      <c r="H28" s="98"/>
      <c r="I28" s="41"/>
      <c r="J28" s="408">
        <v>48693.273430125228</v>
      </c>
      <c r="K28" s="407">
        <v>46986.166187120689</v>
      </c>
      <c r="L28" s="407">
        <v>320.979864781</v>
      </c>
      <c r="M28" s="41">
        <f>SUM(J28:L28)</f>
        <v>96000.419482026919</v>
      </c>
      <c r="N28" s="408">
        <v>62400.892927889297</v>
      </c>
      <c r="O28" s="407">
        <v>31324.11079141379</v>
      </c>
      <c r="P28" s="407">
        <v>320.979864781</v>
      </c>
      <c r="Q28" s="41">
        <f t="shared" si="3"/>
        <v>94045.983584084082</v>
      </c>
      <c r="R28" s="113"/>
      <c r="S28" s="407">
        <v>3870.6678530329991</v>
      </c>
      <c r="T28" s="407">
        <v>859.70626207999999</v>
      </c>
      <c r="U28" s="41">
        <f t="shared" si="5"/>
        <v>4730.3741151129989</v>
      </c>
    </row>
    <row r="29" spans="1:21">
      <c r="A29" s="124" t="s">
        <v>21</v>
      </c>
      <c r="B29" s="113"/>
      <c r="C29" s="98"/>
      <c r="D29" s="98"/>
      <c r="E29" s="41"/>
      <c r="F29" s="113"/>
      <c r="G29" s="98"/>
      <c r="H29" s="98"/>
      <c r="I29" s="41"/>
      <c r="J29" s="113"/>
      <c r="K29" s="98"/>
      <c r="L29" s="98"/>
      <c r="M29" s="41"/>
      <c r="N29" s="408">
        <v>62400.892927889297</v>
      </c>
      <c r="O29" s="407">
        <v>39155.138489267243</v>
      </c>
      <c r="P29" s="407">
        <v>320.979864781</v>
      </c>
      <c r="Q29" s="41">
        <f t="shared" si="3"/>
        <v>101877.01128193754</v>
      </c>
      <c r="R29" s="113"/>
      <c r="S29" s="407">
        <v>3870.6678530329991</v>
      </c>
      <c r="T29" s="407">
        <v>859.70626207999999</v>
      </c>
      <c r="U29" s="41">
        <f t="shared" si="5"/>
        <v>4730.3741151129989</v>
      </c>
    </row>
    <row r="30" spans="1:21">
      <c r="A30" s="124" t="s">
        <v>22</v>
      </c>
      <c r="B30" s="113"/>
      <c r="C30" s="98"/>
      <c r="D30" s="98"/>
      <c r="E30" s="41"/>
      <c r="F30" s="113"/>
      <c r="G30" s="98"/>
      <c r="H30" s="98"/>
      <c r="I30" s="41"/>
      <c r="J30" s="113"/>
      <c r="K30" s="23"/>
      <c r="L30" s="23"/>
      <c r="M30" s="41"/>
      <c r="N30" s="408">
        <v>68150.567841889278</v>
      </c>
      <c r="O30" s="407">
        <v>46986.166187120689</v>
      </c>
      <c r="P30" s="407">
        <v>320.979864781</v>
      </c>
      <c r="Q30" s="41">
        <f t="shared" si="3"/>
        <v>115457.71389379096</v>
      </c>
      <c r="R30" s="113"/>
      <c r="S30" s="407">
        <v>3870.6678530329991</v>
      </c>
      <c r="T30" s="407">
        <v>859.70626207999999</v>
      </c>
      <c r="U30" s="41">
        <f t="shared" si="5"/>
        <v>4730.3741151129989</v>
      </c>
    </row>
    <row r="31" spans="1:21">
      <c r="A31" s="124" t="s">
        <v>23</v>
      </c>
      <c r="B31" s="113"/>
      <c r="C31" s="98"/>
      <c r="D31" s="98"/>
      <c r="E31" s="41"/>
      <c r="F31" s="113"/>
      <c r="G31" s="98"/>
      <c r="H31" s="98"/>
      <c r="I31" s="41"/>
      <c r="J31" s="113"/>
      <c r="K31" s="23"/>
      <c r="L31" s="23"/>
      <c r="M31" s="41"/>
      <c r="N31" s="113"/>
      <c r="O31" s="98"/>
      <c r="P31" s="98"/>
      <c r="Q31" s="41"/>
      <c r="R31" s="113"/>
      <c r="S31" s="98"/>
      <c r="T31" s="98"/>
      <c r="U31" s="41"/>
    </row>
    <row r="32" spans="1:21">
      <c r="A32" s="124" t="s">
        <v>24</v>
      </c>
      <c r="B32" s="113"/>
      <c r="C32" s="98"/>
      <c r="D32" s="98"/>
      <c r="E32" s="41"/>
      <c r="F32" s="113"/>
      <c r="G32" s="98"/>
      <c r="H32" s="98"/>
      <c r="I32" s="41"/>
      <c r="J32" s="113"/>
      <c r="K32" s="23"/>
      <c r="L32" s="23"/>
      <c r="M32" s="41"/>
      <c r="N32" s="113"/>
      <c r="O32" s="98"/>
      <c r="P32" s="98"/>
      <c r="Q32" s="41"/>
      <c r="R32" s="113"/>
      <c r="S32" s="98"/>
      <c r="T32" s="98"/>
      <c r="U32" s="41"/>
    </row>
    <row r="33" spans="1:21">
      <c r="A33" s="124" t="s">
        <v>25</v>
      </c>
      <c r="B33" s="113"/>
      <c r="C33" s="98"/>
      <c r="D33" s="98"/>
      <c r="E33" s="41"/>
      <c r="F33" s="113"/>
      <c r="G33" s="98"/>
      <c r="H33" s="98"/>
      <c r="I33" s="41"/>
      <c r="J33" s="113"/>
      <c r="K33" s="23"/>
      <c r="L33" s="23"/>
      <c r="M33" s="41"/>
      <c r="N33" s="113"/>
      <c r="O33" s="98"/>
      <c r="P33" s="98"/>
      <c r="Q33" s="41"/>
      <c r="R33" s="113"/>
      <c r="S33" s="98"/>
      <c r="T33" s="98"/>
      <c r="U33" s="41"/>
    </row>
    <row r="34" spans="1:21">
      <c r="A34" s="124" t="s">
        <v>111</v>
      </c>
      <c r="B34" s="113"/>
      <c r="C34" s="98"/>
      <c r="D34" s="98"/>
      <c r="E34" s="41"/>
      <c r="F34" s="113"/>
      <c r="G34" s="98"/>
      <c r="H34" s="23"/>
      <c r="I34" s="41"/>
      <c r="J34" s="109"/>
      <c r="K34" s="23"/>
      <c r="L34" s="23"/>
      <c r="M34" s="41"/>
      <c r="N34" s="113"/>
      <c r="O34" s="98"/>
      <c r="P34" s="98"/>
      <c r="Q34" s="24"/>
      <c r="R34" s="113"/>
      <c r="S34" s="98"/>
      <c r="T34" s="98"/>
      <c r="U34" s="41"/>
    </row>
    <row r="35" spans="1:21">
      <c r="A35" s="124" t="s">
        <v>112</v>
      </c>
      <c r="B35" s="113"/>
      <c r="C35" s="98"/>
      <c r="D35" s="23"/>
      <c r="E35" s="41"/>
      <c r="F35" s="113"/>
      <c r="G35" s="98"/>
      <c r="H35" s="23"/>
      <c r="I35" s="41"/>
      <c r="J35" s="109"/>
      <c r="K35" s="23"/>
      <c r="L35" s="23"/>
      <c r="M35" s="41"/>
      <c r="N35" s="113"/>
      <c r="O35" s="98"/>
      <c r="P35" s="23"/>
      <c r="Q35" s="14"/>
      <c r="R35" s="113"/>
      <c r="S35" s="98"/>
      <c r="T35" s="98"/>
      <c r="U35" s="41"/>
    </row>
    <row r="36" spans="1:21">
      <c r="A36" s="124" t="s">
        <v>26</v>
      </c>
      <c r="B36" s="113"/>
      <c r="C36" s="98"/>
      <c r="D36" s="23"/>
      <c r="E36" s="41"/>
      <c r="F36" s="113"/>
      <c r="G36" s="98"/>
      <c r="H36" s="23"/>
      <c r="I36" s="41"/>
      <c r="J36" s="109"/>
      <c r="K36" s="23"/>
      <c r="L36" s="23"/>
      <c r="M36" s="41"/>
      <c r="N36" s="113"/>
      <c r="O36" s="98"/>
      <c r="P36" s="23"/>
      <c r="Q36" s="14"/>
      <c r="R36" s="113"/>
      <c r="S36" s="98"/>
      <c r="T36" s="98"/>
      <c r="U36" s="41"/>
    </row>
    <row r="37" spans="1:21">
      <c r="A37" s="124" t="s">
        <v>27</v>
      </c>
      <c r="B37" s="113"/>
      <c r="C37" s="98"/>
      <c r="D37" s="13"/>
      <c r="E37" s="14"/>
      <c r="F37" s="113"/>
      <c r="G37" s="98"/>
      <c r="H37" s="13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98"/>
      <c r="T37" s="98"/>
      <c r="U37" s="41"/>
    </row>
    <row r="38" spans="1:21" ht="13.5" thickBot="1">
      <c r="A38" s="179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5"/>
      <c r="O38" s="206"/>
      <c r="P38" s="28"/>
      <c r="Q38" s="80"/>
      <c r="R38" s="205"/>
      <c r="S38" s="206"/>
      <c r="T38" s="28"/>
      <c r="U38" s="80"/>
    </row>
    <row r="39" spans="1:21">
      <c r="A39" s="121"/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420"/>
    </row>
    <row r="40" spans="1:21">
      <c r="A40" s="29" t="s">
        <v>307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76"/>
    </row>
    <row r="41" spans="1:21">
      <c r="A41" s="29"/>
      <c r="B41" s="439" t="s">
        <v>393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76"/>
    </row>
    <row r="42" spans="1:21" ht="13.5" thickBot="1">
      <c r="A42" s="15"/>
      <c r="B42" s="438" t="s">
        <v>306</v>
      </c>
      <c r="C42" s="428"/>
      <c r="D42" s="428"/>
      <c r="E42" s="428"/>
      <c r="F42" s="430"/>
      <c r="G42" s="430"/>
      <c r="H42" s="430"/>
      <c r="I42" s="430"/>
      <c r="J42" s="428"/>
      <c r="K42" s="428"/>
      <c r="L42" s="428"/>
      <c r="M42" s="428"/>
      <c r="N42" s="428"/>
      <c r="O42" s="428"/>
      <c r="P42" s="428"/>
      <c r="Q42" s="428"/>
      <c r="R42" s="428"/>
      <c r="S42" s="428"/>
      <c r="T42" s="428"/>
      <c r="U42" s="431"/>
    </row>
    <row r="43" spans="1:21">
      <c r="B43" s="399"/>
      <c r="C43" s="399"/>
      <c r="D43" s="399"/>
      <c r="E43" s="399"/>
      <c r="F43" s="336"/>
      <c r="G43" s="336"/>
      <c r="H43" s="336"/>
      <c r="I43" s="336"/>
      <c r="J43" s="399"/>
      <c r="K43" s="399"/>
      <c r="L43" s="399"/>
      <c r="M43" s="399"/>
      <c r="N43" s="399"/>
      <c r="O43" s="399"/>
      <c r="P43" s="399"/>
      <c r="Q43" s="399"/>
      <c r="R43" s="399"/>
      <c r="S43" s="399"/>
      <c r="T43" s="399"/>
      <c r="U43" s="399"/>
    </row>
    <row r="44" spans="1:21">
      <c r="B44" s="399"/>
      <c r="C44" s="399"/>
      <c r="D44" s="399"/>
      <c r="E44" s="399"/>
      <c r="F44" s="336"/>
      <c r="G44" s="336"/>
      <c r="H44" s="336"/>
      <c r="I44" s="336"/>
      <c r="J44" s="399"/>
      <c r="K44" s="399"/>
      <c r="L44" s="399"/>
      <c r="M44" s="399"/>
      <c r="N44" s="399"/>
      <c r="O44" s="399"/>
      <c r="P44" s="399"/>
      <c r="Q44" s="399"/>
      <c r="R44" s="399"/>
      <c r="S44" s="399"/>
      <c r="T44" s="399"/>
      <c r="U44" s="399"/>
    </row>
    <row r="45" spans="1:21">
      <c r="B45" s="399"/>
      <c r="C45" s="399"/>
      <c r="D45" s="399"/>
      <c r="E45" s="399"/>
      <c r="F45" s="336"/>
      <c r="G45" s="336"/>
      <c r="H45" s="336"/>
      <c r="I45" s="336"/>
      <c r="J45" s="399"/>
      <c r="K45" s="399"/>
      <c r="L45" s="399"/>
      <c r="M45" s="399"/>
      <c r="N45" s="399"/>
      <c r="O45" s="399"/>
      <c r="P45" s="399"/>
      <c r="Q45" s="399"/>
      <c r="R45" s="399"/>
      <c r="S45" s="399"/>
      <c r="T45" s="399"/>
      <c r="U45" s="399"/>
    </row>
    <row r="46" spans="1:21">
      <c r="B46" s="399"/>
      <c r="C46" s="399"/>
      <c r="D46" s="399"/>
      <c r="E46" s="399"/>
      <c r="F46" s="336"/>
      <c r="G46" s="336"/>
      <c r="H46" s="336"/>
      <c r="I46" s="336"/>
      <c r="J46" s="399"/>
      <c r="K46" s="399"/>
      <c r="L46" s="399"/>
      <c r="M46" s="399"/>
      <c r="N46" s="399"/>
      <c r="O46" s="399"/>
      <c r="P46" s="399"/>
      <c r="Q46" s="399"/>
      <c r="R46" s="399"/>
      <c r="S46" s="399"/>
      <c r="T46" s="399"/>
      <c r="U46" s="399"/>
    </row>
    <row r="47" spans="1:21">
      <c r="B47" s="399"/>
      <c r="C47" s="399"/>
      <c r="D47" s="399"/>
      <c r="E47" s="399"/>
      <c r="F47" s="336"/>
      <c r="G47" s="336"/>
      <c r="H47" s="336"/>
      <c r="I47" s="336"/>
      <c r="J47" s="399"/>
      <c r="K47" s="399"/>
      <c r="L47" s="399"/>
      <c r="M47" s="399"/>
      <c r="N47" s="399"/>
      <c r="O47" s="399"/>
      <c r="P47" s="399"/>
      <c r="Q47" s="399"/>
      <c r="R47" s="399"/>
      <c r="S47" s="399"/>
      <c r="T47" s="399"/>
      <c r="U47" s="399"/>
    </row>
    <row r="48" spans="1:21">
      <c r="B48" s="399"/>
      <c r="C48" s="399"/>
      <c r="D48" s="399"/>
      <c r="E48" s="399"/>
      <c r="F48" s="336"/>
      <c r="G48" s="336"/>
      <c r="H48" s="336"/>
      <c r="I48" s="336"/>
      <c r="J48" s="399"/>
      <c r="K48" s="399"/>
      <c r="L48" s="399"/>
      <c r="M48" s="399"/>
      <c r="N48" s="399"/>
      <c r="O48" s="399"/>
      <c r="P48" s="399"/>
      <c r="Q48" s="399"/>
      <c r="R48" s="399"/>
      <c r="S48" s="399"/>
      <c r="T48" s="399"/>
      <c r="U48" s="399"/>
    </row>
    <row r="49" spans="2:21">
      <c r="B49" s="399"/>
      <c r="C49" s="399"/>
      <c r="D49" s="399"/>
      <c r="E49" s="399"/>
      <c r="F49" s="336"/>
      <c r="G49" s="336"/>
      <c r="H49" s="336"/>
      <c r="I49" s="336"/>
      <c r="J49" s="399"/>
      <c r="K49" s="399"/>
      <c r="L49" s="399"/>
      <c r="M49" s="399"/>
      <c r="N49" s="399"/>
      <c r="O49" s="399"/>
      <c r="P49" s="399"/>
      <c r="Q49" s="399"/>
      <c r="R49" s="399"/>
      <c r="S49" s="399"/>
      <c r="T49" s="399"/>
      <c r="U49" s="399"/>
    </row>
    <row r="50" spans="2:21">
      <c r="B50" s="399"/>
      <c r="C50" s="399"/>
      <c r="D50" s="399"/>
      <c r="E50" s="399"/>
      <c r="F50" s="336"/>
      <c r="G50" s="336"/>
      <c r="H50" s="336"/>
      <c r="I50" s="336"/>
      <c r="J50" s="399"/>
      <c r="K50" s="399"/>
      <c r="L50" s="399"/>
      <c r="M50" s="399"/>
      <c r="N50" s="399"/>
      <c r="O50" s="399"/>
      <c r="P50" s="399"/>
      <c r="Q50" s="399"/>
      <c r="R50" s="399"/>
      <c r="S50" s="399"/>
      <c r="T50" s="399"/>
      <c r="U50" s="399"/>
    </row>
    <row r="51" spans="2:21">
      <c r="F51" s="336"/>
      <c r="G51" s="336"/>
      <c r="H51" s="336"/>
      <c r="I51" s="336"/>
      <c r="J51" s="399"/>
      <c r="K51" s="399"/>
      <c r="L51" s="399"/>
      <c r="M51" s="399"/>
      <c r="N51" s="399"/>
      <c r="O51" s="399"/>
      <c r="P51" s="399"/>
      <c r="Q51" s="399"/>
      <c r="R51" s="399"/>
      <c r="S51" s="399"/>
      <c r="T51" s="399"/>
      <c r="U51" s="399"/>
    </row>
    <row r="52" spans="2:21">
      <c r="F52" s="336"/>
      <c r="G52" s="336"/>
      <c r="H52" s="336"/>
      <c r="I52" s="336"/>
      <c r="J52" s="399"/>
      <c r="K52" s="399"/>
      <c r="L52" s="399"/>
      <c r="M52" s="399"/>
      <c r="N52" s="399"/>
      <c r="O52" s="399"/>
      <c r="P52" s="399"/>
      <c r="Q52" s="399"/>
      <c r="R52" s="399"/>
      <c r="S52" s="399"/>
      <c r="T52" s="399"/>
      <c r="U52" s="399"/>
    </row>
    <row r="53" spans="2:21">
      <c r="J53" s="399"/>
      <c r="K53" s="399"/>
      <c r="L53" s="399"/>
      <c r="M53" s="399"/>
      <c r="N53" s="399"/>
      <c r="O53" s="399"/>
      <c r="P53" s="399"/>
      <c r="Q53" s="399"/>
      <c r="R53" s="399"/>
      <c r="S53" s="399"/>
      <c r="T53" s="399"/>
      <c r="U53" s="399"/>
    </row>
    <row r="54" spans="2:21">
      <c r="J54" s="399"/>
      <c r="K54" s="399"/>
      <c r="L54" s="399"/>
      <c r="M54" s="399"/>
      <c r="N54" s="399"/>
      <c r="O54" s="399"/>
      <c r="P54" s="399"/>
      <c r="Q54" s="399"/>
      <c r="R54" s="399"/>
      <c r="S54" s="399"/>
      <c r="T54" s="399"/>
      <c r="U54" s="399"/>
    </row>
    <row r="55" spans="2:21">
      <c r="J55" s="399"/>
      <c r="K55" s="399"/>
      <c r="L55" s="399"/>
      <c r="M55" s="399"/>
      <c r="N55" s="399"/>
      <c r="O55" s="399"/>
      <c r="P55" s="399"/>
      <c r="Q55" s="399"/>
      <c r="R55" s="399"/>
      <c r="S55" s="399"/>
      <c r="T55" s="399"/>
      <c r="U55" s="399"/>
    </row>
    <row r="56" spans="2:21">
      <c r="J56" s="399"/>
      <c r="K56" s="399"/>
      <c r="L56" s="399"/>
      <c r="M56" s="399"/>
      <c r="N56" s="399"/>
      <c r="O56" s="399"/>
      <c r="P56" s="399"/>
      <c r="Q56" s="399"/>
      <c r="R56" s="399"/>
      <c r="S56" s="399"/>
      <c r="T56" s="399"/>
      <c r="U56" s="399"/>
    </row>
    <row r="57" spans="2:21">
      <c r="J57" s="399"/>
      <c r="K57" s="399"/>
      <c r="L57" s="399"/>
      <c r="M57" s="399"/>
      <c r="N57" s="399"/>
      <c r="O57" s="399"/>
      <c r="P57" s="399"/>
      <c r="Q57" s="399"/>
      <c r="R57" s="399"/>
      <c r="S57" s="399"/>
      <c r="T57" s="399"/>
      <c r="U57" s="399"/>
    </row>
    <row r="58" spans="2:21">
      <c r="J58" s="399"/>
      <c r="K58" s="399"/>
      <c r="L58" s="399"/>
      <c r="M58" s="399"/>
      <c r="N58" s="399"/>
      <c r="O58" s="399"/>
      <c r="P58" s="399"/>
      <c r="Q58" s="399"/>
      <c r="R58" s="399"/>
      <c r="S58" s="399"/>
      <c r="T58" s="399"/>
      <c r="U58" s="399"/>
    </row>
    <row r="59" spans="2:21">
      <c r="J59" s="399"/>
      <c r="K59" s="399"/>
      <c r="L59" s="399"/>
      <c r="M59" s="399"/>
      <c r="N59" s="399"/>
      <c r="O59" s="399"/>
      <c r="P59" s="399"/>
      <c r="Q59" s="399"/>
      <c r="R59" s="399"/>
      <c r="S59" s="399"/>
      <c r="T59" s="399"/>
      <c r="U59" s="399"/>
    </row>
    <row r="60" spans="2:21">
      <c r="J60" s="399"/>
      <c r="K60" s="399"/>
      <c r="L60" s="399"/>
      <c r="M60" s="399"/>
      <c r="N60" s="399"/>
      <c r="O60" s="399"/>
      <c r="P60" s="399"/>
      <c r="Q60" s="399"/>
      <c r="R60" s="399"/>
      <c r="S60" s="399"/>
      <c r="T60" s="399"/>
      <c r="U60" s="399"/>
    </row>
    <row r="61" spans="2:21">
      <c r="J61" s="399"/>
      <c r="K61" s="399"/>
      <c r="L61" s="399"/>
      <c r="M61" s="399"/>
      <c r="N61" s="399"/>
      <c r="O61" s="399"/>
      <c r="P61" s="399"/>
      <c r="Q61" s="399"/>
      <c r="R61" s="399"/>
      <c r="S61" s="399"/>
      <c r="T61" s="399"/>
      <c r="U61" s="399"/>
    </row>
    <row r="62" spans="2:21">
      <c r="J62" s="399"/>
      <c r="K62" s="399"/>
      <c r="L62" s="399"/>
      <c r="M62" s="399"/>
      <c r="N62" s="399"/>
      <c r="O62" s="399"/>
      <c r="P62" s="399"/>
      <c r="Q62" s="399"/>
      <c r="R62" s="399"/>
      <c r="S62" s="399"/>
      <c r="T62" s="399"/>
      <c r="U62" s="399"/>
    </row>
    <row r="63" spans="2:21">
      <c r="J63" s="399"/>
      <c r="K63" s="399"/>
      <c r="L63" s="399"/>
      <c r="M63" s="399"/>
      <c r="N63" s="399"/>
      <c r="O63" s="399"/>
      <c r="P63" s="399"/>
      <c r="Q63" s="399"/>
      <c r="R63" s="399"/>
      <c r="S63" s="399"/>
      <c r="T63" s="399"/>
      <c r="U63" s="399"/>
    </row>
    <row r="64" spans="2:21">
      <c r="N64" s="399"/>
      <c r="O64" s="399"/>
      <c r="P64" s="399"/>
      <c r="Q64" s="399"/>
      <c r="R64" s="399"/>
      <c r="S64" s="399"/>
      <c r="T64" s="399"/>
      <c r="U64" s="399"/>
    </row>
    <row r="65" spans="17:17">
      <c r="Q65" s="398"/>
    </row>
    <row r="66" spans="17:17">
      <c r="Q66" s="398"/>
    </row>
    <row r="67" spans="17:17">
      <c r="Q67" s="398"/>
    </row>
  </sheetData>
  <mergeCells count="8">
    <mergeCell ref="A1:Q1"/>
    <mergeCell ref="B2:Q2"/>
    <mergeCell ref="R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0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4">
    <tabColor rgb="FFC00000"/>
    <pageSetUpPr fitToPage="1"/>
  </sheetPr>
  <dimension ref="A1:U67"/>
  <sheetViews>
    <sheetView topLeftCell="A34" zoomScaleNormal="100" workbookViewId="0">
      <pane xSplit="1" topLeftCell="B1" activePane="topRight" state="frozen"/>
      <selection activeCell="D15" sqref="D15"/>
      <selection pane="topRight" activeCell="B41" sqref="B41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</cols>
  <sheetData>
    <row r="1" spans="1:21" ht="18.75" thickBot="1">
      <c r="A1" s="747" t="s">
        <v>129</v>
      </c>
      <c r="B1" s="748"/>
      <c r="C1" s="748"/>
      <c r="D1" s="748"/>
      <c r="E1" s="748"/>
      <c r="F1" s="748"/>
      <c r="G1" s="748"/>
      <c r="H1" s="748"/>
      <c r="I1" s="748"/>
      <c r="J1" s="748"/>
      <c r="K1" s="748"/>
      <c r="L1" s="748"/>
      <c r="M1" s="748"/>
      <c r="N1" s="748"/>
      <c r="O1" s="748"/>
      <c r="P1" s="748"/>
      <c r="Q1" s="748"/>
      <c r="R1" s="12"/>
    </row>
    <row r="2" spans="1:21" ht="13.5" thickBot="1">
      <c r="A2" s="103"/>
      <c r="B2" s="749" t="s">
        <v>0</v>
      </c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51"/>
      <c r="S2" s="745"/>
      <c r="T2" s="745"/>
      <c r="U2" s="746"/>
    </row>
    <row r="3" spans="1:21" ht="13.5" thickBot="1">
      <c r="A3" s="163"/>
      <c r="B3" s="749" t="s">
        <v>113</v>
      </c>
      <c r="C3" s="750"/>
      <c r="D3" s="750"/>
      <c r="E3" s="752"/>
      <c r="F3" s="749" t="s">
        <v>100</v>
      </c>
      <c r="G3" s="750"/>
      <c r="H3" s="750"/>
      <c r="I3" s="752"/>
      <c r="J3" s="749" t="s">
        <v>33</v>
      </c>
      <c r="K3" s="750"/>
      <c r="L3" s="750"/>
      <c r="M3" s="752"/>
      <c r="N3" s="742" t="s">
        <v>34</v>
      </c>
      <c r="O3" s="743"/>
      <c r="P3" s="743"/>
      <c r="Q3" s="743"/>
      <c r="R3" s="753" t="s">
        <v>1</v>
      </c>
      <c r="S3" s="754"/>
      <c r="T3" s="754"/>
      <c r="U3" s="755"/>
    </row>
    <row r="4" spans="1:21" ht="13.5" thickBot="1">
      <c r="A4" s="77" t="s">
        <v>4</v>
      </c>
      <c r="B4" s="238" t="s">
        <v>36</v>
      </c>
      <c r="C4" s="239" t="s">
        <v>37</v>
      </c>
      <c r="D4" s="239" t="s">
        <v>38</v>
      </c>
      <c r="E4" s="240" t="s">
        <v>2</v>
      </c>
      <c r="F4" s="238" t="s">
        <v>36</v>
      </c>
      <c r="G4" s="239" t="s">
        <v>37</v>
      </c>
      <c r="H4" s="239" t="s">
        <v>38</v>
      </c>
      <c r="I4" s="240" t="s">
        <v>2</v>
      </c>
      <c r="J4" s="238" t="s">
        <v>36</v>
      </c>
      <c r="K4" s="239" t="s">
        <v>37</v>
      </c>
      <c r="L4" s="239" t="s">
        <v>38</v>
      </c>
      <c r="M4" s="240" t="s">
        <v>2</v>
      </c>
      <c r="N4" s="238" t="s">
        <v>36</v>
      </c>
      <c r="O4" s="239" t="s">
        <v>37</v>
      </c>
      <c r="P4" s="239" t="s">
        <v>38</v>
      </c>
      <c r="Q4" s="240" t="s">
        <v>2</v>
      </c>
      <c r="R4" s="238" t="s">
        <v>36</v>
      </c>
      <c r="S4" s="239" t="s">
        <v>37</v>
      </c>
      <c r="T4" s="239" t="s">
        <v>38</v>
      </c>
      <c r="U4" s="240" t="s">
        <v>2</v>
      </c>
    </row>
    <row r="5" spans="1:21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</row>
    <row r="6" spans="1:21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</row>
    <row r="7" spans="1:21">
      <c r="A7" s="124" t="s">
        <v>5</v>
      </c>
      <c r="B7" s="562">
        <f>IF('Resid TSM UC'!E7&gt;Inputs!$C$20,'Resid TSM UC'!B7-'Resid TSM UC'!E7+Inputs!$C$20,'Resid TSM UC'!B7)</f>
        <v>245.39104820707465</v>
      </c>
      <c r="C7" s="407">
        <f>'Resid TSM UC'!C7</f>
        <v>138.7130210066349</v>
      </c>
      <c r="D7" s="407">
        <f>'Resid TSM UC'!D7</f>
        <v>195.54777786497777</v>
      </c>
      <c r="E7" s="41">
        <f>SUM(B7:D7)</f>
        <v>579.6518470786873</v>
      </c>
      <c r="F7" s="562">
        <f>IF(IF('Resid TSM UC'!I7&gt;Inputs!$C$20,'Resid TSM UC'!F7-'Resid TSM UC'!I7+Inputs!$C$20,'Resid TSM UC'!F7)&lt;0,0,IF('Resid TSM UC'!I7&gt;Inputs!$C$20,'Resid TSM UC'!F7-'Resid TSM UC'!I7+Inputs!$C$20,'Resid TSM UC'!F7))</f>
        <v>290.98144300778256</v>
      </c>
      <c r="G7" s="407">
        <f>IF(F7=0,'Resid TSM UC'!G7+('Resid TSM UC'!F7-'Resid TSM UC'!I7+Inputs!$C$20),'Resid TSM UC'!G7)</f>
        <v>754.14273000301057</v>
      </c>
      <c r="H7" s="407">
        <f>'Resid TSM UC'!H7</f>
        <v>320.979864781</v>
      </c>
      <c r="I7" s="41">
        <f>SUM(F7:H7)</f>
        <v>1366.1040377917932</v>
      </c>
      <c r="J7" s="562">
        <f>IF(IF('Resid TSM UC'!M7&gt;Inputs!$C$20,'Resid TSM UC'!J7-'Resid TSM UC'!M7+Inputs!$C$20,'Resid TSM UC'!J7)&lt;0,0,IF('Resid TSM UC'!M7&gt;Inputs!$C$20,'Resid TSM UC'!J7-'Resid TSM UC'!M7+Inputs!$C$20,'Resid TSM UC'!J7))</f>
        <v>305.95670573403169</v>
      </c>
      <c r="K7" s="407">
        <f>IF(J7=0,'Resid TSM UC'!K7+('Resid TSM UC'!J7-'Resid TSM UC'!M7+Inputs!$C$20),'Resid TSM UC'!K7)</f>
        <v>754.14273000301057</v>
      </c>
      <c r="L7" s="407">
        <f>'Resid TSM UC'!L7</f>
        <v>320.979864781</v>
      </c>
      <c r="M7" s="41">
        <f>SUM(J7:L7)</f>
        <v>1381.0793005180424</v>
      </c>
      <c r="N7" s="562">
        <f>IF(IF('Resid TSM UC'!Q7&gt;Inputs!$C$20,'Resid TSM UC'!N7-'Resid TSM UC'!Q7+Inputs!$C$20,'Resid TSM UC'!N7)&lt;0,0,IF('Resid TSM UC'!Q7&gt;Inputs!$C$20,'Resid TSM UC'!N7-'Resid TSM UC'!Q7+Inputs!$C$20,'Resid TSM UC'!N7))</f>
        <v>360.9076494190582</v>
      </c>
      <c r="O7" s="407">
        <f>IF(N7=0,'Resid TSM UC'!O7+('Resid TSM UC'!N7-'Resid TSM UC'!Q7+Inputs!$C$20),'Resid TSM UC'!O7)</f>
        <v>754.14273000301057</v>
      </c>
      <c r="P7" s="407">
        <f>'Resid TSM UC'!P7</f>
        <v>320.979864781</v>
      </c>
      <c r="Q7" s="41">
        <f>SUM(N7:P7)</f>
        <v>1436.0302442030688</v>
      </c>
      <c r="R7" s="113"/>
      <c r="S7" s="407">
        <f>IF(R7=0,'Resid TSM UC'!S7+('Resid TSM UC'!R7-'Resid TSM UC'!U7+Inputs!$C$20),'Resid TSM UC'!S7)</f>
        <v>2381.2937379200002</v>
      </c>
      <c r="T7" s="407">
        <f>'Resid TSM UC'!T7</f>
        <v>859.70626207999999</v>
      </c>
      <c r="U7" s="41">
        <f>SUM(R7:T7)</f>
        <v>3241</v>
      </c>
    </row>
    <row r="8" spans="1:21">
      <c r="A8" s="124" t="s">
        <v>6</v>
      </c>
      <c r="B8" s="562">
        <f>IF('Resid TSM UC'!E8&gt;Inputs!$C$20,'Resid TSM UC'!B8-'Resid TSM UC'!E8+Inputs!$C$20,'Resid TSM UC'!B8)</f>
        <v>771.22900865080612</v>
      </c>
      <c r="C8" s="407">
        <f>'Resid TSM UC'!C8</f>
        <v>138.7130210066349</v>
      </c>
      <c r="D8" s="407">
        <f>'Resid TSM UC'!D8</f>
        <v>195.54777786497777</v>
      </c>
      <c r="E8" s="41">
        <f t="shared" ref="E8:E16" si="0">SUM(B8:D8)</f>
        <v>1105.4898075224187</v>
      </c>
      <c r="F8" s="562">
        <f>IF(IF('Resid TSM UC'!I8&gt;Inputs!$C$20,'Resid TSM UC'!F8-'Resid TSM UC'!I8+Inputs!$C$20,'Resid TSM UC'!F8)&lt;0,0,IF('Resid TSM UC'!I8&gt;Inputs!$C$20,'Resid TSM UC'!F8-'Resid TSM UC'!I8+Inputs!$C$20,'Resid TSM UC'!F8))</f>
        <v>872.94432902334779</v>
      </c>
      <c r="G8" s="407">
        <f>IF(F8=0,'Resid TSM UC'!G8+('Resid TSM UC'!F8-'Resid TSM UC'!I8+Inputs!$C$20),'Resid TSM UC'!G8)</f>
        <v>754.14273000301057</v>
      </c>
      <c r="H8" s="407">
        <f>'Resid TSM UC'!H8</f>
        <v>320.979864781</v>
      </c>
      <c r="I8" s="41">
        <f t="shared" ref="I8:I17" si="1">SUM(F8:H8)</f>
        <v>1948.0669238073585</v>
      </c>
      <c r="J8" s="562">
        <f>IF(IF('Resid TSM UC'!M8&gt;Inputs!$C$20,'Resid TSM UC'!J8-'Resid TSM UC'!M8+Inputs!$C$20,'Resid TSM UC'!J8)&lt;0,0,IF('Resid TSM UC'!M8&gt;Inputs!$C$20,'Resid TSM UC'!J8-'Resid TSM UC'!M8+Inputs!$C$20,'Resid TSM UC'!J8))</f>
        <v>917.870117202095</v>
      </c>
      <c r="K8" s="407">
        <f>IF(J8=0,'Resid TSM UC'!K8+('Resid TSM UC'!J8-'Resid TSM UC'!M8+Inputs!$C$20),'Resid TSM UC'!K8)</f>
        <v>754.14273000301057</v>
      </c>
      <c r="L8" s="407">
        <f>'Resid TSM UC'!L8</f>
        <v>320.979864781</v>
      </c>
      <c r="M8" s="41">
        <f t="shared" ref="M8:M23" si="2">SUM(J8:L8)</f>
        <v>1992.9927119861056</v>
      </c>
      <c r="N8" s="562">
        <f>IF(IF('Resid TSM UC'!Q8&gt;Inputs!$C$20,'Resid TSM UC'!N8-'Resid TSM UC'!Q8+Inputs!$C$20,'Resid TSM UC'!N8)&lt;0,0,IF('Resid TSM UC'!Q8&gt;Inputs!$C$20,'Resid TSM UC'!N8-'Resid TSM UC'!Q8+Inputs!$C$20,'Resid TSM UC'!N8))</f>
        <v>1082.7229482571745</v>
      </c>
      <c r="O8" s="407">
        <f>IF(N8=0,'Resid TSM UC'!O8+('Resid TSM UC'!N8-'Resid TSM UC'!Q8+Inputs!$C$20),'Resid TSM UC'!O8)</f>
        <v>754.14273000301057</v>
      </c>
      <c r="P8" s="407">
        <f>'Resid TSM UC'!P8</f>
        <v>320.979864781</v>
      </c>
      <c r="Q8" s="41">
        <f t="shared" ref="Q8:Q29" si="3">SUM(N8:P8)</f>
        <v>2157.845543041185</v>
      </c>
      <c r="R8" s="113"/>
      <c r="S8" s="407">
        <f>IF(R8=0,'Resid TSM UC'!S8+('Resid TSM UC'!R8-'Resid TSM UC'!U8+Inputs!$C$20),'Resid TSM UC'!S8)</f>
        <v>2381.2937379200002</v>
      </c>
      <c r="T8" s="407">
        <f>'Resid TSM UC'!T8</f>
        <v>859.70626207999999</v>
      </c>
      <c r="U8" s="41">
        <f t="shared" ref="U8:U19" si="4">SUM(R8:T8)</f>
        <v>3241</v>
      </c>
    </row>
    <row r="9" spans="1:21">
      <c r="A9" s="124" t="s">
        <v>7</v>
      </c>
      <c r="B9" s="562">
        <f>IF('Resid TSM UC'!E9&gt;Inputs!$C$20,'Resid TSM UC'!B9-'Resid TSM UC'!E9+Inputs!$C$20,'Resid TSM UC'!B9)</f>
        <v>674.82538256945531</v>
      </c>
      <c r="C9" s="407">
        <f>'Resid TSM UC'!C9</f>
        <v>195.52229201326981</v>
      </c>
      <c r="D9" s="407">
        <f>'Resid TSM UC'!D9</f>
        <v>195.54777786497777</v>
      </c>
      <c r="E9" s="41">
        <f t="shared" si="0"/>
        <v>1065.8954524477031</v>
      </c>
      <c r="F9" s="562">
        <f>IF(IF('Resid TSM UC'!I9&gt;Inputs!$C$20,'Resid TSM UC'!F9-'Resid TSM UC'!I9+Inputs!$C$20,'Resid TSM UC'!F9)&lt;0,0,IF('Resid TSM UC'!I9&gt;Inputs!$C$20,'Resid TSM UC'!F9-'Resid TSM UC'!I9+Inputs!$C$20,'Resid TSM UC'!F9))</f>
        <v>1745.8886580466956</v>
      </c>
      <c r="G9" s="407">
        <f>IF(F9=0,'Resid TSM UC'!G9+('Resid TSM UC'!F9-'Resid TSM UC'!I9+Inputs!$C$20),'Resid TSM UC'!G9)</f>
        <v>888.28562532861781</v>
      </c>
      <c r="H9" s="407">
        <f>'Resid TSM UC'!H9</f>
        <v>320.979864781</v>
      </c>
      <c r="I9" s="41">
        <f t="shared" si="1"/>
        <v>2955.1541481563131</v>
      </c>
      <c r="J9" s="562">
        <f>IF(IF('Resid TSM UC'!M9&gt;Inputs!$C$20,'Resid TSM UC'!J9-'Resid TSM UC'!M9+Inputs!$C$20,'Resid TSM UC'!J9)&lt;0,0,IF('Resid TSM UC'!M9&gt;Inputs!$C$20,'Resid TSM UC'!J9-'Resid TSM UC'!M9+Inputs!$C$20,'Resid TSM UC'!J9))</f>
        <v>1835.74023440419</v>
      </c>
      <c r="K9" s="407">
        <f>IF(J9=0,'Resid TSM UC'!K9+('Resid TSM UC'!J9-'Resid TSM UC'!M9+Inputs!$C$20),'Resid TSM UC'!K9)</f>
        <v>888.28562532861781</v>
      </c>
      <c r="L9" s="407">
        <f>'Resid TSM UC'!L9</f>
        <v>320.979864781</v>
      </c>
      <c r="M9" s="41">
        <f t="shared" si="2"/>
        <v>3045.0057245138078</v>
      </c>
      <c r="N9" s="562">
        <f>IF(IF('Resid TSM UC'!Q9&gt;Inputs!$C$20,'Resid TSM UC'!N9-'Resid TSM UC'!Q9+Inputs!$C$20,'Resid TSM UC'!N9)&lt;0,0,IF('Resid TSM UC'!Q9&gt;Inputs!$C$20,'Resid TSM UC'!N9-'Resid TSM UC'!Q9+Inputs!$C$20,'Resid TSM UC'!N9))</f>
        <v>2031.7345098903825</v>
      </c>
      <c r="O9" s="407">
        <f>IF(N9=0,'Resid TSM UC'!O9+('Resid TSM UC'!N9-'Resid TSM UC'!Q9+Inputs!$C$20),'Resid TSM UC'!O9)</f>
        <v>888.28562532861781</v>
      </c>
      <c r="P9" s="407">
        <f>'Resid TSM UC'!P9</f>
        <v>320.979864781</v>
      </c>
      <c r="Q9" s="41">
        <f t="shared" si="3"/>
        <v>3241</v>
      </c>
      <c r="R9" s="113"/>
      <c r="S9" s="407">
        <f>IF(R9=0,'Resid TSM UC'!S9+('Resid TSM UC'!R9-'Resid TSM UC'!U9+Inputs!$C$20),'Resid TSM UC'!S9)</f>
        <v>2381.2937379200002</v>
      </c>
      <c r="T9" s="407">
        <f>'Resid TSM UC'!T9</f>
        <v>859.70626207999999</v>
      </c>
      <c r="U9" s="41">
        <f t="shared" si="4"/>
        <v>3241</v>
      </c>
    </row>
    <row r="10" spans="1:21">
      <c r="A10" s="124" t="s">
        <v>110</v>
      </c>
      <c r="B10" s="562">
        <f>IF('Resid TSM UC'!E10&gt;Inputs!$C$20,'Resid TSM UC'!B10-'Resid TSM UC'!E10+Inputs!$C$20,'Resid TSM UC'!B10)</f>
        <v>1349.6507651389106</v>
      </c>
      <c r="C10" s="407">
        <f>'Resid TSM UC'!C10</f>
        <v>213.73179817905475</v>
      </c>
      <c r="D10" s="407">
        <f>'Resid TSM UC'!D10</f>
        <v>195.54777786497777</v>
      </c>
      <c r="E10" s="41">
        <f t="shared" si="0"/>
        <v>1758.9303411829433</v>
      </c>
      <c r="F10" s="562">
        <f>IF(IF('Resid TSM UC'!I10&gt;Inputs!$C$20,'Resid TSM UC'!F10-'Resid TSM UC'!I10+Inputs!$C$20,'Resid TSM UC'!F10)&lt;0,0,IF('Resid TSM UC'!I10&gt;Inputs!$C$20,'Resid TSM UC'!F10-'Resid TSM UC'!I10+Inputs!$C$20,'Resid TSM UC'!F10))</f>
        <v>2031.7345098903816</v>
      </c>
      <c r="G10" s="407">
        <f>IF(F10=0,'Resid TSM UC'!G10+('Resid TSM UC'!F10-'Resid TSM UC'!I10+Inputs!$C$20),'Resid TSM UC'!G10)</f>
        <v>888.28562532861781</v>
      </c>
      <c r="H10" s="407">
        <f>'Resid TSM UC'!H10</f>
        <v>320.979864781</v>
      </c>
      <c r="I10" s="41">
        <f t="shared" si="1"/>
        <v>3240.9999999999991</v>
      </c>
      <c r="J10" s="562">
        <f>IF(IF('Resid TSM UC'!M10&gt;Inputs!$C$20,'Resid TSM UC'!J10-'Resid TSM UC'!M10+Inputs!$C$20,'Resid TSM UC'!J10)&lt;0,0,IF('Resid TSM UC'!M10&gt;Inputs!$C$20,'Resid TSM UC'!J10-'Resid TSM UC'!M10+Inputs!$C$20,'Resid TSM UC'!J10))</f>
        <v>2031.7345098903816</v>
      </c>
      <c r="K10" s="407">
        <f>IF(J10=0,'Resid TSM UC'!K10+('Resid TSM UC'!J10-'Resid TSM UC'!M10+Inputs!$C$20),'Resid TSM UC'!K10)</f>
        <v>888.28562532861781</v>
      </c>
      <c r="L10" s="407">
        <f>'Resid TSM UC'!L10</f>
        <v>320.979864781</v>
      </c>
      <c r="M10" s="41">
        <f t="shared" si="2"/>
        <v>3240.9999999999991</v>
      </c>
      <c r="N10" s="562">
        <f>IF(IF('Resid TSM UC'!Q10&gt;Inputs!$C$20,'Resid TSM UC'!N10-'Resid TSM UC'!Q10+Inputs!$C$20,'Resid TSM UC'!N10)&lt;0,0,IF('Resid TSM UC'!Q10&gt;Inputs!$C$20,'Resid TSM UC'!N10-'Resid TSM UC'!Q10+Inputs!$C$20,'Resid TSM UC'!N10))</f>
        <v>2031.7345098903816</v>
      </c>
      <c r="O10" s="407">
        <f>IF(N10=0,'Resid TSM UC'!O10+('Resid TSM UC'!N10-'Resid TSM UC'!Q10+Inputs!$C$20),'Resid TSM UC'!O10)</f>
        <v>888.28562532861781</v>
      </c>
      <c r="P10" s="407">
        <f>'Resid TSM UC'!P10</f>
        <v>320.979864781</v>
      </c>
      <c r="Q10" s="41">
        <f t="shared" si="3"/>
        <v>3240.9999999999991</v>
      </c>
      <c r="R10" s="113"/>
      <c r="S10" s="407">
        <f>IF(R10=0,'Resid TSM UC'!S10+('Resid TSM UC'!R10-'Resid TSM UC'!U10+Inputs!$C$20),'Resid TSM UC'!S10)</f>
        <v>2381.2937379200002</v>
      </c>
      <c r="T10" s="407">
        <f>'Resid TSM UC'!T10</f>
        <v>859.70626207999999</v>
      </c>
      <c r="U10" s="41">
        <f t="shared" si="4"/>
        <v>3241</v>
      </c>
    </row>
    <row r="11" spans="1:21">
      <c r="A11" s="124" t="s">
        <v>102</v>
      </c>
      <c r="B11" s="562">
        <f>IF('Resid TSM UC'!E11&gt;Inputs!$C$20,'Resid TSM UC'!B11-'Resid TSM UC'!E11+Inputs!$C$20,'Resid TSM UC'!B11)</f>
        <v>1349.6507651389106</v>
      </c>
      <c r="C11" s="407">
        <f>'Resid TSM UC'!C11</f>
        <v>213.73179817905475</v>
      </c>
      <c r="D11" s="407">
        <f>'Resid TSM UC'!D11</f>
        <v>195.54777786497777</v>
      </c>
      <c r="E11" s="41">
        <f t="shared" si="0"/>
        <v>1758.9303411829433</v>
      </c>
      <c r="F11" s="562">
        <f>IF(IF('Resid TSM UC'!I11&gt;Inputs!$C$20,'Resid TSM UC'!F11-'Resid TSM UC'!I11+Inputs!$C$20,'Resid TSM UC'!F11)&lt;0,0,IF('Resid TSM UC'!I11&gt;Inputs!$C$20,'Resid TSM UC'!F11-'Resid TSM UC'!I11+Inputs!$C$20,'Resid TSM UC'!F11))</f>
        <v>2031.7345098903816</v>
      </c>
      <c r="G11" s="407">
        <f>IF(F11=0,'Resid TSM UC'!G11+('Resid TSM UC'!F11-'Resid TSM UC'!I11+Inputs!$C$20),'Resid TSM UC'!G11)</f>
        <v>888.28562532861781</v>
      </c>
      <c r="H11" s="407">
        <f>'Resid TSM UC'!H11</f>
        <v>320.979864781</v>
      </c>
      <c r="I11" s="41">
        <f t="shared" si="1"/>
        <v>3240.9999999999991</v>
      </c>
      <c r="J11" s="562">
        <f>IF(IF('Resid TSM UC'!M11&gt;Inputs!$C$20,'Resid TSM UC'!J11-'Resid TSM UC'!M11+Inputs!$C$20,'Resid TSM UC'!J11)&lt;0,0,IF('Resid TSM UC'!M11&gt;Inputs!$C$20,'Resid TSM UC'!J11-'Resid TSM UC'!M11+Inputs!$C$20,'Resid TSM UC'!J11))</f>
        <v>2031.7345098903816</v>
      </c>
      <c r="K11" s="407">
        <f>IF(J11=0,'Resid TSM UC'!K11+('Resid TSM UC'!J11-'Resid TSM UC'!M11+Inputs!$C$20),'Resid TSM UC'!K11)</f>
        <v>888.28562532861781</v>
      </c>
      <c r="L11" s="407">
        <f>'Resid TSM UC'!L11</f>
        <v>320.979864781</v>
      </c>
      <c r="M11" s="41">
        <f t="shared" si="2"/>
        <v>3240.9999999999991</v>
      </c>
      <c r="N11" s="562">
        <f>IF(IF('Resid TSM UC'!Q11&gt;Inputs!$C$20,'Resid TSM UC'!N11-'Resid TSM UC'!Q11+Inputs!$C$20,'Resid TSM UC'!N11)&lt;0,0,IF('Resid TSM UC'!Q11&gt;Inputs!$C$20,'Resid TSM UC'!N11-'Resid TSM UC'!Q11+Inputs!$C$20,'Resid TSM UC'!N11))</f>
        <v>2031.7345098903816</v>
      </c>
      <c r="O11" s="407">
        <f>IF(N11=0,'Resid TSM UC'!O11+('Resid TSM UC'!N11-'Resid TSM UC'!Q11+Inputs!$C$20),'Resid TSM UC'!O11)</f>
        <v>888.28562532861781</v>
      </c>
      <c r="P11" s="407">
        <f>'Resid TSM UC'!P11</f>
        <v>320.979864781</v>
      </c>
      <c r="Q11" s="41">
        <f t="shared" si="3"/>
        <v>3240.9999999999991</v>
      </c>
      <c r="R11" s="113"/>
      <c r="S11" s="407">
        <f>IF(R11=0,'Resid TSM UC'!S11+('Resid TSM UC'!R11-'Resid TSM UC'!U11+Inputs!$C$20),'Resid TSM UC'!S11)</f>
        <v>2381.2937379200002</v>
      </c>
      <c r="T11" s="407">
        <f>'Resid TSM UC'!T11</f>
        <v>859.70626207999999</v>
      </c>
      <c r="U11" s="41">
        <f t="shared" si="4"/>
        <v>3241</v>
      </c>
    </row>
    <row r="12" spans="1:21">
      <c r="A12" s="124" t="s">
        <v>8</v>
      </c>
      <c r="B12" s="562">
        <f>IF('Resid TSM UC'!E12&gt;Inputs!$C$20,'Resid TSM UC'!B12-'Resid TSM UC'!E12+Inputs!$C$20,'Resid TSM UC'!B12)</f>
        <v>1450.0172593464001</v>
      </c>
      <c r="C12" s="407">
        <f>'Resid TSM UC'!C12</f>
        <v>515.2781532122292</v>
      </c>
      <c r="D12" s="407">
        <f>'Resid TSM UC'!D12</f>
        <v>195.54777786497777</v>
      </c>
      <c r="E12" s="41">
        <f t="shared" si="0"/>
        <v>2160.8431904236072</v>
      </c>
      <c r="F12" s="562">
        <f>IF(IF('Resid TSM UC'!I12&gt;Inputs!$C$20,'Resid TSM UC'!F12-'Resid TSM UC'!I12+Inputs!$C$20,'Resid TSM UC'!F12)&lt;0,0,IF('Resid TSM UC'!I12&gt;Inputs!$C$20,'Resid TSM UC'!F12-'Resid TSM UC'!I12+Inputs!$C$20,'Resid TSM UC'!F12))</f>
        <v>1763.448719239168</v>
      </c>
      <c r="G12" s="407">
        <f>IF(F12=0,'Resid TSM UC'!G12+('Resid TSM UC'!F12-'Resid TSM UC'!I12+Inputs!$C$20),'Resid TSM UC'!G12)</f>
        <v>1156.5714159798322</v>
      </c>
      <c r="H12" s="407">
        <f>'Resid TSM UC'!H12</f>
        <v>320.979864781</v>
      </c>
      <c r="I12" s="41">
        <f t="shared" si="1"/>
        <v>3241</v>
      </c>
      <c r="J12" s="562">
        <f>IF(IF('Resid TSM UC'!M12&gt;Inputs!$C$20,'Resid TSM UC'!J12-'Resid TSM UC'!M12+Inputs!$C$20,'Resid TSM UC'!J12)&lt;0,0,IF('Resid TSM UC'!M12&gt;Inputs!$C$20,'Resid TSM UC'!J12-'Resid TSM UC'!M12+Inputs!$C$20,'Resid TSM UC'!J12))</f>
        <v>1763.448719239168</v>
      </c>
      <c r="K12" s="407">
        <f>IF(J12=0,'Resid TSM UC'!K12+('Resid TSM UC'!J12-'Resid TSM UC'!M12+Inputs!$C$20),'Resid TSM UC'!K12)</f>
        <v>1156.5714159798322</v>
      </c>
      <c r="L12" s="407">
        <f>'Resid TSM UC'!L12</f>
        <v>320.979864781</v>
      </c>
      <c r="M12" s="41">
        <f t="shared" si="2"/>
        <v>3241</v>
      </c>
      <c r="N12" s="562">
        <f>IF(IF('Resid TSM UC'!Q12&gt;Inputs!$C$20,'Resid TSM UC'!N12-'Resid TSM UC'!Q12+Inputs!$C$20,'Resid TSM UC'!N12)&lt;0,0,IF('Resid TSM UC'!Q12&gt;Inputs!$C$20,'Resid TSM UC'!N12-'Resid TSM UC'!Q12+Inputs!$C$20,'Resid TSM UC'!N12))</f>
        <v>1763.448719239168</v>
      </c>
      <c r="O12" s="407">
        <f>IF(N12=0,'Resid TSM UC'!O12+('Resid TSM UC'!N12-'Resid TSM UC'!Q12+Inputs!$C$20),'Resid TSM UC'!O12)</f>
        <v>1156.5714159798322</v>
      </c>
      <c r="P12" s="407">
        <f>'Resid TSM UC'!P12</f>
        <v>320.979864781</v>
      </c>
      <c r="Q12" s="41">
        <f t="shared" si="3"/>
        <v>3241</v>
      </c>
      <c r="R12" s="113"/>
      <c r="S12" s="407">
        <f>IF(R12=0,'Resid TSM UC'!S12+('Resid TSM UC'!R12-'Resid TSM UC'!U12+Inputs!$C$20),'Resid TSM UC'!S12)</f>
        <v>2381.2937379200002</v>
      </c>
      <c r="T12" s="407">
        <f>'Resid TSM UC'!T12</f>
        <v>859.70626207999999</v>
      </c>
      <c r="U12" s="41">
        <f t="shared" si="4"/>
        <v>3241</v>
      </c>
    </row>
    <row r="13" spans="1:21">
      <c r="A13" s="124" t="s">
        <v>9</v>
      </c>
      <c r="B13" s="562">
        <f>IF('Resid TSM UC'!E13&gt;Inputs!$C$20,'Resid TSM UC'!B13-'Resid TSM UC'!E13+Inputs!$C$20,'Resid TSM UC'!B13)</f>
        <v>2215.2785369466433</v>
      </c>
      <c r="C13" s="407">
        <f>'Resid TSM UC'!C13</f>
        <v>830.17368518837884</v>
      </c>
      <c r="D13" s="407">
        <f>'Resid TSM UC'!D13</f>
        <v>195.54777786497777</v>
      </c>
      <c r="E13" s="41">
        <f t="shared" si="0"/>
        <v>3241</v>
      </c>
      <c r="F13" s="562">
        <f>IF(IF('Resid TSM UC'!I13&gt;Inputs!$C$20,'Resid TSM UC'!F13-'Resid TSM UC'!I13+Inputs!$C$20,'Resid TSM UC'!F13)&lt;0,0,IF('Resid TSM UC'!I13&gt;Inputs!$C$20,'Resid TSM UC'!F13-'Resid TSM UC'!I13+Inputs!$C$20,'Resid TSM UC'!F13))</f>
        <v>1138.5441563938766</v>
      </c>
      <c r="G13" s="407">
        <f>IF(F13=0,'Resid TSM UC'!G13+('Resid TSM UC'!F13-'Resid TSM UC'!I13+Inputs!$C$20),'Resid TSM UC'!G13)</f>
        <v>1781.4759788251249</v>
      </c>
      <c r="H13" s="407">
        <f>'Resid TSM UC'!H13</f>
        <v>320.979864781</v>
      </c>
      <c r="I13" s="41">
        <f t="shared" si="1"/>
        <v>3241.0000000000014</v>
      </c>
      <c r="J13" s="562">
        <f>IF(IF('Resid TSM UC'!M13&gt;Inputs!$C$20,'Resid TSM UC'!J13-'Resid TSM UC'!M13+Inputs!$C$20,'Resid TSM UC'!J13)&lt;0,0,IF('Resid TSM UC'!M13&gt;Inputs!$C$20,'Resid TSM UC'!J13-'Resid TSM UC'!M13+Inputs!$C$20,'Resid TSM UC'!J13))</f>
        <v>1138.5441563938766</v>
      </c>
      <c r="K13" s="407">
        <f>IF(J13=0,'Resid TSM UC'!K13+('Resid TSM UC'!J13-'Resid TSM UC'!M13+Inputs!$C$20),'Resid TSM UC'!K13)</f>
        <v>1781.4759788251249</v>
      </c>
      <c r="L13" s="407">
        <f>'Resid TSM UC'!L13</f>
        <v>320.979864781</v>
      </c>
      <c r="M13" s="41">
        <f t="shared" si="2"/>
        <v>3241.0000000000014</v>
      </c>
      <c r="N13" s="562">
        <f>IF(IF('Resid TSM UC'!Q13&gt;Inputs!$C$20,'Resid TSM UC'!N13-'Resid TSM UC'!Q13+Inputs!$C$20,'Resid TSM UC'!N13)&lt;0,0,IF('Resid TSM UC'!Q13&gt;Inputs!$C$20,'Resid TSM UC'!N13-'Resid TSM UC'!Q13+Inputs!$C$20,'Resid TSM UC'!N13))</f>
        <v>1763.448719239168</v>
      </c>
      <c r="O13" s="407">
        <f>IF(N13=0,'Resid TSM UC'!O13+('Resid TSM UC'!N13-'Resid TSM UC'!Q13+Inputs!$C$20),'Resid TSM UC'!O13)</f>
        <v>1156.5714159798322</v>
      </c>
      <c r="P13" s="407">
        <f>'Resid TSM UC'!P13</f>
        <v>320.979864781</v>
      </c>
      <c r="Q13" s="41">
        <f t="shared" si="3"/>
        <v>3241</v>
      </c>
      <c r="R13" s="113"/>
      <c r="S13" s="407">
        <f>IF(R13=0,'Resid TSM UC'!S13+('Resid TSM UC'!R13-'Resid TSM UC'!U13+Inputs!$C$20),'Resid TSM UC'!S13)</f>
        <v>2381.2937379200002</v>
      </c>
      <c r="T13" s="407">
        <f>'Resid TSM UC'!T13</f>
        <v>859.70626207999999</v>
      </c>
      <c r="U13" s="41">
        <f t="shared" si="4"/>
        <v>3241</v>
      </c>
    </row>
    <row r="14" spans="1:21">
      <c r="A14" s="124" t="s">
        <v>10</v>
      </c>
      <c r="B14" s="562">
        <f>IF('Resid TSM UC'!E14&gt;Inputs!$C$20,'Resid TSM UC'!B14-'Resid TSM UC'!E14+Inputs!$C$20,'Resid TSM UC'!B14)</f>
        <v>1467.0086017582653</v>
      </c>
      <c r="C14" s="407">
        <f>'Resid TSM UC'!C14</f>
        <v>1578.4436203767575</v>
      </c>
      <c r="D14" s="407">
        <f>'Resid TSM UC'!D14</f>
        <v>195.54777786497777</v>
      </c>
      <c r="E14" s="41">
        <f t="shared" si="0"/>
        <v>3241.0000000000005</v>
      </c>
      <c r="F14" s="562">
        <f>IF(IF('Resid TSM UC'!I14&gt;Inputs!$C$20,'Resid TSM UC'!F14-'Resid TSM UC'!I14+Inputs!$C$20,'Resid TSM UC'!F14)&lt;0,0,IF('Resid TSM UC'!I14&gt;Inputs!$C$20,'Resid TSM UC'!F14-'Resid TSM UC'!I14+Inputs!$C$20,'Resid TSM UC'!F14))</f>
        <v>1138.5441563938748</v>
      </c>
      <c r="G14" s="407">
        <f>IF(F14=0,'Resid TSM UC'!G14+('Resid TSM UC'!F14-'Resid TSM UC'!I14+Inputs!$C$20),'Resid TSM UC'!G14)</f>
        <v>1781.4759788251249</v>
      </c>
      <c r="H14" s="407">
        <f>'Resid TSM UC'!H14</f>
        <v>320.979864781</v>
      </c>
      <c r="I14" s="41">
        <f t="shared" si="1"/>
        <v>3240.9999999999995</v>
      </c>
      <c r="J14" s="562">
        <f>IF(IF('Resid TSM UC'!M14&gt;Inputs!$C$20,'Resid TSM UC'!J14-'Resid TSM UC'!M14+Inputs!$C$20,'Resid TSM UC'!J14)&lt;0,0,IF('Resid TSM UC'!M14&gt;Inputs!$C$20,'Resid TSM UC'!J14-'Resid TSM UC'!M14+Inputs!$C$20,'Resid TSM UC'!J14))</f>
        <v>1138.5441563938748</v>
      </c>
      <c r="K14" s="407">
        <f>IF(J14=0,'Resid TSM UC'!K14+('Resid TSM UC'!J14-'Resid TSM UC'!M14+Inputs!$C$20),'Resid TSM UC'!K14)</f>
        <v>1781.4759788251249</v>
      </c>
      <c r="L14" s="407">
        <f>'Resid TSM UC'!L14</f>
        <v>320.979864781</v>
      </c>
      <c r="M14" s="41">
        <f t="shared" si="2"/>
        <v>3240.9999999999995</v>
      </c>
      <c r="N14" s="562">
        <f>IF(IF('Resid TSM UC'!Q14&gt;Inputs!$C$20,'Resid TSM UC'!N14-'Resid TSM UC'!Q14+Inputs!$C$20,'Resid TSM UC'!N14)&lt;0,0,IF('Resid TSM UC'!Q14&gt;Inputs!$C$20,'Resid TSM UC'!N14-'Resid TSM UC'!Q14+Inputs!$C$20,'Resid TSM UC'!N14))</f>
        <v>1138.5441563938748</v>
      </c>
      <c r="O14" s="407">
        <f>IF(N14=0,'Resid TSM UC'!O14+('Resid TSM UC'!N14-'Resid TSM UC'!Q14+Inputs!$C$20),'Resid TSM UC'!O14)</f>
        <v>1781.4759788251249</v>
      </c>
      <c r="P14" s="407">
        <f>'Resid TSM UC'!P14</f>
        <v>320.979864781</v>
      </c>
      <c r="Q14" s="41">
        <f t="shared" si="3"/>
        <v>3240.9999999999995</v>
      </c>
      <c r="R14" s="113"/>
      <c r="S14" s="407">
        <f>IF(R14=0,'Resid TSM UC'!S14+('Resid TSM UC'!R14-'Resid TSM UC'!U14+Inputs!$C$20),'Resid TSM UC'!S14)</f>
        <v>2381.2937379200002</v>
      </c>
      <c r="T14" s="407">
        <f>'Resid TSM UC'!T14</f>
        <v>859.70626207999999</v>
      </c>
      <c r="U14" s="41">
        <f t="shared" si="4"/>
        <v>3241</v>
      </c>
    </row>
    <row r="15" spans="1:21">
      <c r="A15" s="124" t="s">
        <v>11</v>
      </c>
      <c r="B15" s="562">
        <f>IF('Resid TSM UC'!E15&gt;Inputs!$C$20,'Resid TSM UC'!B15-'Resid TSM UC'!E15+Inputs!$C$20,'Resid TSM UC'!B15)</f>
        <v>718.73866656988503</v>
      </c>
      <c r="C15" s="407">
        <f>'Resid TSM UC'!C15</f>
        <v>2326.7135555651362</v>
      </c>
      <c r="D15" s="407">
        <f>'Resid TSM UC'!D15</f>
        <v>195.54777786497777</v>
      </c>
      <c r="E15" s="41">
        <f t="shared" si="0"/>
        <v>3240.9999999999991</v>
      </c>
      <c r="F15" s="562"/>
      <c r="G15" s="407">
        <f>IF(F15=0,'Resid TSM UC'!G15+('Resid TSM UC'!F15-'Resid TSM UC'!I15+Inputs!$C$20),'Resid TSM UC'!G15)</f>
        <v>2920.0201352189997</v>
      </c>
      <c r="H15" s="407">
        <f>'Resid TSM UC'!H15</f>
        <v>320.979864781</v>
      </c>
      <c r="I15" s="41">
        <f t="shared" si="1"/>
        <v>3240.9999999999995</v>
      </c>
      <c r="J15" s="562"/>
      <c r="K15" s="407">
        <f>IF(J15=0,'Resid TSM UC'!K15+('Resid TSM UC'!J15-'Resid TSM UC'!M15+Inputs!$C$20),'Resid TSM UC'!K15)</f>
        <v>2920.0201352190015</v>
      </c>
      <c r="L15" s="407">
        <f>'Resid TSM UC'!L15</f>
        <v>320.979864781</v>
      </c>
      <c r="M15" s="41">
        <f t="shared" si="2"/>
        <v>3241.0000000000014</v>
      </c>
      <c r="N15" s="562">
        <f>IF(IF('Resid TSM UC'!Q15&gt;Inputs!$C$20,'Resid TSM UC'!N15-'Resid TSM UC'!Q15+Inputs!$C$20,'Resid TSM UC'!N15)&lt;0,0,IF('Resid TSM UC'!Q15&gt;Inputs!$C$20,'Resid TSM UC'!N15-'Resid TSM UC'!Q15+Inputs!$C$20,'Resid TSM UC'!N15))</f>
        <v>1138.5441563938766</v>
      </c>
      <c r="O15" s="407">
        <f>IF(N15=0,'Resid TSM UC'!O15+('Resid TSM UC'!N15-'Resid TSM UC'!Q15+Inputs!$C$20),'Resid TSM UC'!O15)</f>
        <v>1781.4759788251249</v>
      </c>
      <c r="P15" s="407">
        <f>'Resid TSM UC'!P15</f>
        <v>320.979864781</v>
      </c>
      <c r="Q15" s="41">
        <f t="shared" si="3"/>
        <v>3241.0000000000014</v>
      </c>
      <c r="R15" s="113"/>
      <c r="S15" s="407">
        <f>IF(R15=0,'Resid TSM UC'!S15+('Resid TSM UC'!R15-'Resid TSM UC'!U15+Inputs!$C$20),'Resid TSM UC'!S15)</f>
        <v>2381.2937379200002</v>
      </c>
      <c r="T15" s="407">
        <f>'Resid TSM UC'!T15</f>
        <v>859.70626207999999</v>
      </c>
      <c r="U15" s="41">
        <f t="shared" si="4"/>
        <v>3241</v>
      </c>
    </row>
    <row r="16" spans="1:21">
      <c r="A16" s="124" t="s">
        <v>106</v>
      </c>
      <c r="B16" s="562">
        <f>IF('Resid TSM UC'!E16&gt;Inputs!$C$20,'Resid TSM UC'!B16-'Resid TSM UC'!E16+Inputs!$C$20,'Resid TSM UC'!B16)</f>
        <v>718.73866656988503</v>
      </c>
      <c r="C16" s="407">
        <f>'Resid TSM UC'!C16</f>
        <v>2326.7135555651362</v>
      </c>
      <c r="D16" s="407">
        <f>'Resid TSM UC'!D16</f>
        <v>195.54777786497777</v>
      </c>
      <c r="E16" s="41">
        <f t="shared" si="0"/>
        <v>3240.9999999999991</v>
      </c>
      <c r="F16" s="562"/>
      <c r="G16" s="407">
        <f>IF(F16=0,'Resid TSM UC'!G16+('Resid TSM UC'!F16-'Resid TSM UC'!I16+Inputs!$C$20),'Resid TSM UC'!G16)</f>
        <v>2920.0201352190024</v>
      </c>
      <c r="H16" s="407">
        <f>'Resid TSM UC'!H16</f>
        <v>320.979864781</v>
      </c>
      <c r="I16" s="41">
        <f t="shared" si="1"/>
        <v>3241.0000000000023</v>
      </c>
      <c r="J16" s="562"/>
      <c r="K16" s="407">
        <f>IF(J16=0,'Resid TSM UC'!K16+('Resid TSM UC'!J16-'Resid TSM UC'!M16+Inputs!$C$20),'Resid TSM UC'!K16)</f>
        <v>2920.0201352190006</v>
      </c>
      <c r="L16" s="407">
        <f>'Resid TSM UC'!L16</f>
        <v>320.979864781</v>
      </c>
      <c r="M16" s="41">
        <f t="shared" si="2"/>
        <v>3241.0000000000005</v>
      </c>
      <c r="N16" s="562">
        <f>IF(IF('Resid TSM UC'!Q16&gt;Inputs!$C$20,'Resid TSM UC'!N16-'Resid TSM UC'!Q16+Inputs!$C$20,'Resid TSM UC'!N16)&lt;0,0,IF('Resid TSM UC'!Q16&gt;Inputs!$C$20,'Resid TSM UC'!N16-'Resid TSM UC'!Q16+Inputs!$C$20,'Resid TSM UC'!N16))</f>
        <v>520.03865428777499</v>
      </c>
      <c r="O16" s="407">
        <f>IF(N16=0,'Resid TSM UC'!O16+('Resid TSM UC'!N16-'Resid TSM UC'!Q16+Inputs!$C$20),'Resid TSM UC'!O16)</f>
        <v>2399.9814809312252</v>
      </c>
      <c r="P16" s="407">
        <f>'Resid TSM UC'!P16</f>
        <v>320.979864781</v>
      </c>
      <c r="Q16" s="41">
        <f t="shared" si="3"/>
        <v>3241</v>
      </c>
      <c r="R16" s="113"/>
      <c r="S16" s="407">
        <f>IF(R16=0,'Resid TSM UC'!S16+('Resid TSM UC'!R16-'Resid TSM UC'!U16+Inputs!$C$20),'Resid TSM UC'!S16)</f>
        <v>2381.2937379200002</v>
      </c>
      <c r="T16" s="407">
        <f>'Resid TSM UC'!T16</f>
        <v>859.70626207999999</v>
      </c>
      <c r="U16" s="41">
        <f t="shared" si="4"/>
        <v>3241</v>
      </c>
    </row>
    <row r="17" spans="1:21">
      <c r="A17" s="124" t="s">
        <v>107</v>
      </c>
      <c r="B17" s="113"/>
      <c r="C17" s="98"/>
      <c r="D17" s="98"/>
      <c r="E17" s="41"/>
      <c r="F17" s="562"/>
      <c r="G17" s="407">
        <f>IF(F17=0,'Resid TSM UC'!G17+('Resid TSM UC'!F17-'Resid TSM UC'!I17+Inputs!$C$20),'Resid TSM UC'!G17)</f>
        <v>2920.0201352190024</v>
      </c>
      <c r="H17" s="407">
        <f>'Resid TSM UC'!H17</f>
        <v>320.979864781</v>
      </c>
      <c r="I17" s="41">
        <f t="shared" si="1"/>
        <v>3241.0000000000023</v>
      </c>
      <c r="J17" s="562"/>
      <c r="K17" s="407">
        <f>IF(J17=0,'Resid TSM UC'!K17+('Resid TSM UC'!J17-'Resid TSM UC'!M17+Inputs!$C$20),'Resid TSM UC'!K17)</f>
        <v>2920.0201352190006</v>
      </c>
      <c r="L17" s="407">
        <f>'Resid TSM UC'!L17</f>
        <v>320.979864781</v>
      </c>
      <c r="M17" s="41">
        <f t="shared" si="2"/>
        <v>3241.0000000000005</v>
      </c>
      <c r="N17" s="562">
        <f>IF(IF('Resid TSM UC'!Q17&gt;Inputs!$C$20,'Resid TSM UC'!N17-'Resid TSM UC'!Q17+Inputs!$C$20,'Resid TSM UC'!N17)&lt;0,0,IF('Resid TSM UC'!Q17&gt;Inputs!$C$20,'Resid TSM UC'!N17-'Resid TSM UC'!Q17+Inputs!$C$20,'Resid TSM UC'!N17))</f>
        <v>520.03865428777499</v>
      </c>
      <c r="O17" s="407">
        <f>IF(N17=0,'Resid TSM UC'!O17+('Resid TSM UC'!N17-'Resid TSM UC'!Q17+Inputs!$C$20),'Resid TSM UC'!O17)</f>
        <v>2399.9814809312252</v>
      </c>
      <c r="P17" s="407">
        <f>'Resid TSM UC'!P17</f>
        <v>320.979864781</v>
      </c>
      <c r="Q17" s="41">
        <f t="shared" si="3"/>
        <v>3241</v>
      </c>
      <c r="R17" s="113"/>
      <c r="S17" s="407">
        <f>IF(R17=0,'Resid TSM UC'!S17+('Resid TSM UC'!R17-'Resid TSM UC'!U17+Inputs!$C$20),'Resid TSM UC'!S17)</f>
        <v>2381.2937379200002</v>
      </c>
      <c r="T17" s="407">
        <f>'Resid TSM UC'!T17</f>
        <v>859.70626207999999</v>
      </c>
      <c r="U17" s="41">
        <f t="shared" si="4"/>
        <v>3241</v>
      </c>
    </row>
    <row r="18" spans="1:21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562"/>
      <c r="K18" s="407">
        <f>IF(J18=0,'Resid TSM UC'!K18+('Resid TSM UC'!J18-'Resid TSM UC'!M18+Inputs!$C$20),'Resid TSM UC'!K18)</f>
        <v>2920.0201352189997</v>
      </c>
      <c r="L18" s="407">
        <f>'Resid TSM UC'!L18</f>
        <v>320.979864781</v>
      </c>
      <c r="M18" s="41">
        <f t="shared" si="2"/>
        <v>3240.9999999999995</v>
      </c>
      <c r="N18" s="562"/>
      <c r="O18" s="407">
        <f>IF(N18=0,'Resid TSM UC'!O18+('Resid TSM UC'!N18-'Resid TSM UC'!Q18+Inputs!$C$20),'Resid TSM UC'!O18)</f>
        <v>2920.0201352190024</v>
      </c>
      <c r="P18" s="407">
        <f>'Resid TSM UC'!P18</f>
        <v>320.979864781</v>
      </c>
      <c r="Q18" s="41">
        <f t="shared" si="3"/>
        <v>3241.0000000000023</v>
      </c>
      <c r="R18" s="113"/>
      <c r="S18" s="407">
        <f>IF(R18=0,'Resid TSM UC'!S18+('Resid TSM UC'!R18-'Resid TSM UC'!U18+Inputs!$C$20),'Resid TSM UC'!S18)</f>
        <v>2381.2937379200002</v>
      </c>
      <c r="T18" s="407">
        <f>'Resid TSM UC'!T18</f>
        <v>859.70626207999999</v>
      </c>
      <c r="U18" s="41">
        <f t="shared" si="4"/>
        <v>3241</v>
      </c>
    </row>
    <row r="19" spans="1:21">
      <c r="A19" s="124" t="s">
        <v>13</v>
      </c>
      <c r="B19" s="113"/>
      <c r="C19" s="98"/>
      <c r="D19" s="98"/>
      <c r="E19" s="41"/>
      <c r="F19" s="113"/>
      <c r="G19" s="98"/>
      <c r="H19" s="98"/>
      <c r="I19" s="41"/>
      <c r="J19" s="562"/>
      <c r="K19" s="407">
        <f>IF(J19=0,'Resid TSM UC'!K19+('Resid TSM UC'!J19-'Resid TSM UC'!M19+Inputs!$C$20),'Resid TSM UC'!K19)</f>
        <v>2920.0201352189979</v>
      </c>
      <c r="L19" s="407">
        <f>'Resid TSM UC'!L19</f>
        <v>320.979864781</v>
      </c>
      <c r="M19" s="41">
        <f t="shared" si="2"/>
        <v>3240.9999999999977</v>
      </c>
      <c r="N19" s="562"/>
      <c r="O19" s="407">
        <f>IF(N19=0,'Resid TSM UC'!O19+('Resid TSM UC'!N19-'Resid TSM UC'!Q19+Inputs!$C$20),'Resid TSM UC'!O19)</f>
        <v>2920.0201352190024</v>
      </c>
      <c r="P19" s="407">
        <f>'Resid TSM UC'!P19</f>
        <v>320.979864781</v>
      </c>
      <c r="Q19" s="41">
        <f t="shared" si="3"/>
        <v>3241.0000000000023</v>
      </c>
      <c r="R19" s="113"/>
      <c r="S19" s="407">
        <f>IF(R19=0,'Resid TSM UC'!S19+('Resid TSM UC'!R19-'Resid TSM UC'!U19+Inputs!$C$20),'Resid TSM UC'!S19)</f>
        <v>2381.2937379200002</v>
      </c>
      <c r="T19" s="407">
        <f>'Resid TSM UC'!T19</f>
        <v>859.70626207999999</v>
      </c>
      <c r="U19" s="41">
        <f t="shared" si="4"/>
        <v>3241</v>
      </c>
    </row>
    <row r="20" spans="1:21">
      <c r="A20" s="124" t="s">
        <v>108</v>
      </c>
      <c r="B20" s="113"/>
      <c r="C20" s="98"/>
      <c r="D20" s="337"/>
      <c r="E20" s="41"/>
      <c r="F20" s="113"/>
      <c r="G20" s="98"/>
      <c r="H20" s="98"/>
      <c r="I20" s="41"/>
      <c r="J20" s="562"/>
      <c r="K20" s="407">
        <f>IF(J20=0,'Resid TSM UC'!K20+('Resid TSM UC'!J20-'Resid TSM UC'!M20+Inputs!$C$20),'Resid TSM UC'!K20)</f>
        <v>2920.0201352190015</v>
      </c>
      <c r="L20" s="407">
        <f>'Resid TSM UC'!L20</f>
        <v>320.979864781</v>
      </c>
      <c r="M20" s="41">
        <f t="shared" si="2"/>
        <v>3241.0000000000014</v>
      </c>
      <c r="N20" s="562"/>
      <c r="O20" s="407">
        <f>IF(N20=0,'Resid TSM UC'!O20+('Resid TSM UC'!N20-'Resid TSM UC'!Q20+Inputs!$C$20),'Resid TSM UC'!O20)</f>
        <v>2920.0201352190024</v>
      </c>
      <c r="P20" s="407">
        <f>'Resid TSM UC'!P20</f>
        <v>320.979864781</v>
      </c>
      <c r="Q20" s="41">
        <f>SUM(N20:P20)</f>
        <v>3241.0000000000023</v>
      </c>
      <c r="R20" s="113"/>
      <c r="S20" s="407">
        <f>IF(R20=0,'Resid TSM UC'!S20+('Resid TSM UC'!R20-'Resid TSM UC'!U20+Inputs!$C$20),'Resid TSM UC'!S20)</f>
        <v>2381.2937379200002</v>
      </c>
      <c r="T20" s="407">
        <f>'Resid TSM UC'!T20</f>
        <v>859.70626207999999</v>
      </c>
      <c r="U20" s="41">
        <f>SUM(R20:T20)</f>
        <v>3241</v>
      </c>
    </row>
    <row r="21" spans="1:21">
      <c r="A21" s="124" t="s">
        <v>109</v>
      </c>
      <c r="B21" s="113"/>
      <c r="C21" s="98"/>
      <c r="D21" s="98"/>
      <c r="E21" s="41"/>
      <c r="F21" s="113"/>
      <c r="G21" s="98"/>
      <c r="H21" s="98"/>
      <c r="I21" s="41"/>
      <c r="J21" s="562"/>
      <c r="K21" s="407">
        <f>IF(J21=0,'Resid TSM UC'!K21+('Resid TSM UC'!J21-'Resid TSM UC'!M21+Inputs!$C$20),'Resid TSM UC'!K21)</f>
        <v>2920.0201352190015</v>
      </c>
      <c r="L21" s="407">
        <f>'Resid TSM UC'!L21</f>
        <v>320.979864781</v>
      </c>
      <c r="M21" s="41">
        <f t="shared" si="2"/>
        <v>3241.0000000000014</v>
      </c>
      <c r="N21" s="562"/>
      <c r="O21" s="407">
        <f>IF(N21=0,'Resid TSM UC'!O21+('Resid TSM UC'!N21-'Resid TSM UC'!Q21+Inputs!$C$20),'Resid TSM UC'!O21)</f>
        <v>2920.0201352190024</v>
      </c>
      <c r="P21" s="407">
        <f>'Resid TSM UC'!P21</f>
        <v>320.979864781</v>
      </c>
      <c r="Q21" s="41">
        <f t="shared" si="3"/>
        <v>3241.0000000000023</v>
      </c>
      <c r="R21" s="113"/>
      <c r="S21" s="407">
        <f>IF(R21=0,'Resid TSM UC'!S21+('Resid TSM UC'!R21-'Resid TSM UC'!U21+Inputs!$C$20),'Resid TSM UC'!S21)</f>
        <v>2381.2937379200002</v>
      </c>
      <c r="T21" s="407">
        <f>'Resid TSM UC'!T21</f>
        <v>859.70626207999999</v>
      </c>
      <c r="U21" s="41">
        <f t="shared" ref="U21:U29" si="5">SUM(R21:T21)</f>
        <v>3241</v>
      </c>
    </row>
    <row r="22" spans="1:21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562"/>
      <c r="K22" s="407">
        <f>IF(J22=0,'Resid TSM UC'!K22+('Resid TSM UC'!J22-'Resid TSM UC'!M22+Inputs!$C$20),'Resid TSM UC'!K22)</f>
        <v>2920.0201352189979</v>
      </c>
      <c r="L22" s="407">
        <f>'Resid TSM UC'!L22</f>
        <v>320.979864781</v>
      </c>
      <c r="M22" s="41">
        <f t="shared" si="2"/>
        <v>3240.9999999999977</v>
      </c>
      <c r="N22" s="562"/>
      <c r="O22" s="407">
        <f>IF(N22=0,'Resid TSM UC'!O22+('Resid TSM UC'!N22-'Resid TSM UC'!Q22+Inputs!$C$20),'Resid TSM UC'!O22)</f>
        <v>2920.0201352189997</v>
      </c>
      <c r="P22" s="407">
        <f>'Resid TSM UC'!P22</f>
        <v>320.979864781</v>
      </c>
      <c r="Q22" s="41">
        <f t="shared" si="3"/>
        <v>3240.9999999999995</v>
      </c>
      <c r="R22" s="113"/>
      <c r="S22" s="407">
        <f>IF(R22=0,'Resid TSM UC'!S22+('Resid TSM UC'!R22-'Resid TSM UC'!U22+Inputs!$C$20),'Resid TSM UC'!S22)</f>
        <v>2381.2937379200002</v>
      </c>
      <c r="T22" s="407">
        <f>'Resid TSM UC'!T22</f>
        <v>859.70626207999999</v>
      </c>
      <c r="U22" s="41">
        <f t="shared" si="5"/>
        <v>3241</v>
      </c>
    </row>
    <row r="23" spans="1:21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562"/>
      <c r="K23" s="407">
        <f>IF(J23=0,'Resid TSM UC'!K23+('Resid TSM UC'!J23-'Resid TSM UC'!M23+Inputs!$C$20),'Resid TSM UC'!K23)</f>
        <v>2920.0201352189979</v>
      </c>
      <c r="L23" s="407">
        <f>'Resid TSM UC'!L23</f>
        <v>320.979864781</v>
      </c>
      <c r="M23" s="41">
        <f t="shared" si="2"/>
        <v>3240.9999999999977</v>
      </c>
      <c r="N23" s="562"/>
      <c r="O23" s="407">
        <f>IF(N23=0,'Resid TSM UC'!O23+('Resid TSM UC'!N23-'Resid TSM UC'!Q23+Inputs!$C$20),'Resid TSM UC'!O23)</f>
        <v>2920.0201352189997</v>
      </c>
      <c r="P23" s="407">
        <f>'Resid TSM UC'!P23</f>
        <v>320.979864781</v>
      </c>
      <c r="Q23" s="41">
        <f t="shared" si="3"/>
        <v>3240.9999999999995</v>
      </c>
      <c r="R23" s="113"/>
      <c r="S23" s="407">
        <f>IF(R23=0,'Resid TSM UC'!S23+('Resid TSM UC'!R23-'Resid TSM UC'!U23+Inputs!$C$20),'Resid TSM UC'!S23)</f>
        <v>2381.2937379200002</v>
      </c>
      <c r="T23" s="407">
        <f>'Resid TSM UC'!T23</f>
        <v>859.70626207999999</v>
      </c>
      <c r="U23" s="41">
        <f t="shared" si="5"/>
        <v>3241</v>
      </c>
    </row>
    <row r="24" spans="1:21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562"/>
      <c r="K24" s="407">
        <f>IF(J24=0,'Resid TSM UC'!K24+('Resid TSM UC'!J24-'Resid TSM UC'!M24+Inputs!$C$20),'Resid TSM UC'!K24)</f>
        <v>2920.0201352190124</v>
      </c>
      <c r="L24" s="407">
        <f>'Resid TSM UC'!L24</f>
        <v>320.979864781</v>
      </c>
      <c r="M24" s="41">
        <f>SUM(J24:L24)</f>
        <v>3241.0000000000123</v>
      </c>
      <c r="N24" s="562"/>
      <c r="O24" s="407">
        <f>IF(N24=0,'Resid TSM UC'!O24+('Resid TSM UC'!N24-'Resid TSM UC'!Q24+Inputs!$C$20),'Resid TSM UC'!O24)</f>
        <v>2920.0201352189997</v>
      </c>
      <c r="P24" s="407">
        <f>'Resid TSM UC'!P24</f>
        <v>320.979864781</v>
      </c>
      <c r="Q24" s="41">
        <f t="shared" si="3"/>
        <v>3240.9999999999995</v>
      </c>
      <c r="R24" s="113"/>
      <c r="S24" s="407">
        <f>IF(R24=0,'Resid TSM UC'!S24+('Resid TSM UC'!R24-'Resid TSM UC'!U24+Inputs!$C$20),'Resid TSM UC'!S24)</f>
        <v>2381.2937379200002</v>
      </c>
      <c r="T24" s="407">
        <f>'Resid TSM UC'!T24</f>
        <v>859.70626207999999</v>
      </c>
      <c r="U24" s="41">
        <f t="shared" si="5"/>
        <v>3241</v>
      </c>
    </row>
    <row r="25" spans="1:21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562"/>
      <c r="K25" s="407">
        <f>IF(J25=0,'Resid TSM UC'!K25+('Resid TSM UC'!J25-'Resid TSM UC'!M25+Inputs!$C$20),'Resid TSM UC'!K25)</f>
        <v>2920.0201352190052</v>
      </c>
      <c r="L25" s="407">
        <f>'Resid TSM UC'!L25</f>
        <v>320.979864781</v>
      </c>
      <c r="M25" s="41">
        <f>SUM(J25:L25)</f>
        <v>3241.000000000005</v>
      </c>
      <c r="N25" s="562"/>
      <c r="O25" s="407">
        <f>IF(N25=0,'Resid TSM UC'!O25+('Resid TSM UC'!N25-'Resid TSM UC'!Q25+Inputs!$C$20),'Resid TSM UC'!O25)</f>
        <v>2920.0201352189979</v>
      </c>
      <c r="P25" s="407">
        <f>'Resid TSM UC'!P25</f>
        <v>320.979864781</v>
      </c>
      <c r="Q25" s="41">
        <f t="shared" si="3"/>
        <v>3240.9999999999977</v>
      </c>
      <c r="R25" s="113"/>
      <c r="S25" s="407">
        <f>IF(R25=0,'Resid TSM UC'!S25+('Resid TSM UC'!R25-'Resid TSM UC'!U25+Inputs!$C$20),'Resid TSM UC'!S25)</f>
        <v>2381.2937379200002</v>
      </c>
      <c r="T25" s="407">
        <f>'Resid TSM UC'!T25</f>
        <v>859.70626207999999</v>
      </c>
      <c r="U25" s="41">
        <f t="shared" si="5"/>
        <v>3241</v>
      </c>
    </row>
    <row r="26" spans="1:21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562"/>
      <c r="K26" s="407">
        <f>IF(J26=0,'Resid TSM UC'!K26+('Resid TSM UC'!J26-'Resid TSM UC'!M26+Inputs!$C$20),'Resid TSM UC'!K26)</f>
        <v>2920.0201352189979</v>
      </c>
      <c r="L26" s="407">
        <f>'Resid TSM UC'!L26</f>
        <v>320.979864781</v>
      </c>
      <c r="M26" s="41">
        <f>SUM(J26:L26)</f>
        <v>3240.9999999999977</v>
      </c>
      <c r="N26" s="562"/>
      <c r="O26" s="407">
        <f>IF(N26=0,'Resid TSM UC'!O26+('Resid TSM UC'!N26-'Resid TSM UC'!Q26+Inputs!$C$20),'Resid TSM UC'!O26)</f>
        <v>2920.0201352190015</v>
      </c>
      <c r="P26" s="407">
        <f>'Resid TSM UC'!P26</f>
        <v>320.979864781</v>
      </c>
      <c r="Q26" s="41">
        <f t="shared" si="3"/>
        <v>3241.0000000000014</v>
      </c>
      <c r="R26" s="113"/>
      <c r="S26" s="407">
        <f>IF(R26=0,'Resid TSM UC'!S26+('Resid TSM UC'!R26-'Resid TSM UC'!U26+Inputs!$C$20),'Resid TSM UC'!S26)</f>
        <v>2381.2937379200002</v>
      </c>
      <c r="T26" s="407">
        <f>'Resid TSM UC'!T26</f>
        <v>859.70626207999999</v>
      </c>
      <c r="U26" s="41">
        <f t="shared" si="5"/>
        <v>3241</v>
      </c>
    </row>
    <row r="27" spans="1:21">
      <c r="A27" s="124" t="s">
        <v>19</v>
      </c>
      <c r="B27" s="113"/>
      <c r="C27" s="98"/>
      <c r="D27" s="98"/>
      <c r="E27" s="41"/>
      <c r="F27" s="113"/>
      <c r="G27" s="98"/>
      <c r="H27" s="98"/>
      <c r="I27" s="41"/>
      <c r="J27" s="562"/>
      <c r="K27" s="407">
        <f>IF(J27=0,'Resid TSM UC'!K27+('Resid TSM UC'!J27-'Resid TSM UC'!M27+Inputs!$C$20),'Resid TSM UC'!K27)</f>
        <v>2920.0201352189979</v>
      </c>
      <c r="L27" s="407">
        <f>'Resid TSM UC'!L27</f>
        <v>320.979864781</v>
      </c>
      <c r="M27" s="41">
        <f>SUM(J27:L27)</f>
        <v>3240.9999999999977</v>
      </c>
      <c r="N27" s="562"/>
      <c r="O27" s="407">
        <f>IF(N27=0,'Resid TSM UC'!O27+('Resid TSM UC'!N27-'Resid TSM UC'!Q27+Inputs!$C$20),'Resid TSM UC'!O27)</f>
        <v>2920.0201352190088</v>
      </c>
      <c r="P27" s="407">
        <f>'Resid TSM UC'!P27</f>
        <v>320.979864781</v>
      </c>
      <c r="Q27" s="41">
        <f t="shared" si="3"/>
        <v>3241.0000000000086</v>
      </c>
      <c r="R27" s="113"/>
      <c r="S27" s="407">
        <f>IF(R27=0,'Resid TSM UC'!S27+('Resid TSM UC'!R27-'Resid TSM UC'!U27+Inputs!$C$20),'Resid TSM UC'!S27)</f>
        <v>2381.2937379200002</v>
      </c>
      <c r="T27" s="407">
        <f>'Resid TSM UC'!T27</f>
        <v>859.70626207999999</v>
      </c>
      <c r="U27" s="41">
        <f t="shared" si="5"/>
        <v>3241</v>
      </c>
    </row>
    <row r="28" spans="1:21">
      <c r="A28" s="124" t="s">
        <v>20</v>
      </c>
      <c r="B28" s="113"/>
      <c r="C28" s="98"/>
      <c r="D28" s="98"/>
      <c r="E28" s="41"/>
      <c r="F28" s="113"/>
      <c r="G28" s="98"/>
      <c r="H28" s="98"/>
      <c r="I28" s="41"/>
      <c r="J28" s="562"/>
      <c r="K28" s="407">
        <f>IF(J28=0,'Resid TSM UC'!K28+('Resid TSM UC'!J28-'Resid TSM UC'!M28+Inputs!$C$20),'Resid TSM UC'!K28)</f>
        <v>2920.0201352189979</v>
      </c>
      <c r="L28" s="407">
        <f>'Resid TSM UC'!L28</f>
        <v>320.979864781</v>
      </c>
      <c r="M28" s="41">
        <f>SUM(J28:L28)</f>
        <v>3240.9999999999977</v>
      </c>
      <c r="N28" s="562"/>
      <c r="O28" s="407">
        <f>IF(N28=0,'Resid TSM UC'!O28+('Resid TSM UC'!N28-'Resid TSM UC'!Q28+Inputs!$C$20),'Resid TSM UC'!O28)</f>
        <v>2920.0201352190052</v>
      </c>
      <c r="P28" s="407">
        <f>'Resid TSM UC'!P28</f>
        <v>320.979864781</v>
      </c>
      <c r="Q28" s="41">
        <f t="shared" si="3"/>
        <v>3241.000000000005</v>
      </c>
      <c r="R28" s="113"/>
      <c r="S28" s="407">
        <f>IF(R28=0,'Resid TSM UC'!S28+('Resid TSM UC'!R28-'Resid TSM UC'!U28+Inputs!$C$20),'Resid TSM UC'!S28)</f>
        <v>2381.2937379200002</v>
      </c>
      <c r="T28" s="407">
        <f>'Resid TSM UC'!T28</f>
        <v>859.70626207999999</v>
      </c>
      <c r="U28" s="41">
        <f t="shared" si="5"/>
        <v>3241</v>
      </c>
    </row>
    <row r="29" spans="1:21">
      <c r="A29" s="124" t="s">
        <v>21</v>
      </c>
      <c r="B29" s="113"/>
      <c r="C29" s="98"/>
      <c r="D29" s="98"/>
      <c r="E29" s="41"/>
      <c r="F29" s="113"/>
      <c r="G29" s="98"/>
      <c r="H29" s="98"/>
      <c r="I29" s="41"/>
      <c r="J29" s="113"/>
      <c r="K29" s="98"/>
      <c r="L29" s="98"/>
      <c r="M29" s="41"/>
      <c r="N29" s="562"/>
      <c r="O29" s="407">
        <f>IF(N29=0,'Resid TSM UC'!O29+('Resid TSM UC'!N29-'Resid TSM UC'!Q29+Inputs!$C$20),'Resid TSM UC'!O29)</f>
        <v>2920.0201352190052</v>
      </c>
      <c r="P29" s="407">
        <f>'Resid TSM UC'!P29</f>
        <v>320.979864781</v>
      </c>
      <c r="Q29" s="41">
        <f t="shared" si="3"/>
        <v>3241.000000000005</v>
      </c>
      <c r="R29" s="113"/>
      <c r="S29" s="407">
        <f>IF(R29=0,'Resid TSM UC'!S29+('Resid TSM UC'!R29-'Resid TSM UC'!U29+Inputs!$C$20),'Resid TSM UC'!S29)</f>
        <v>2381.2937379200002</v>
      </c>
      <c r="T29" s="407">
        <f>'Resid TSM UC'!T29</f>
        <v>859.70626207999999</v>
      </c>
      <c r="U29" s="41">
        <f t="shared" si="5"/>
        <v>3241</v>
      </c>
    </row>
    <row r="30" spans="1:21">
      <c r="A30" s="124" t="s">
        <v>22</v>
      </c>
      <c r="B30" s="113"/>
      <c r="C30" s="98"/>
      <c r="D30" s="98"/>
      <c r="E30" s="41"/>
      <c r="F30" s="113"/>
      <c r="G30" s="98"/>
      <c r="H30" s="23"/>
      <c r="I30" s="41"/>
      <c r="J30" s="113"/>
      <c r="K30" s="23"/>
      <c r="L30" s="23"/>
      <c r="M30" s="41"/>
      <c r="N30" s="113"/>
      <c r="O30" s="98"/>
      <c r="P30" s="98"/>
      <c r="Q30" s="41"/>
      <c r="R30" s="113"/>
      <c r="S30" s="98"/>
      <c r="T30" s="98"/>
      <c r="U30" s="41"/>
    </row>
    <row r="31" spans="1:21">
      <c r="A31" s="124" t="s">
        <v>23</v>
      </c>
      <c r="B31" s="113"/>
      <c r="C31" s="98"/>
      <c r="D31" s="98"/>
      <c r="E31" s="41"/>
      <c r="F31" s="113"/>
      <c r="G31" s="98"/>
      <c r="H31" s="23"/>
      <c r="I31" s="41"/>
      <c r="J31" s="113"/>
      <c r="K31" s="23"/>
      <c r="L31" s="23"/>
      <c r="M31" s="41"/>
      <c r="N31" s="113"/>
      <c r="O31" s="98"/>
      <c r="P31" s="98"/>
      <c r="Q31" s="41"/>
      <c r="R31" s="113"/>
      <c r="S31" s="98"/>
      <c r="T31" s="98"/>
      <c r="U31" s="41"/>
    </row>
    <row r="32" spans="1:21">
      <c r="A32" s="124" t="s">
        <v>24</v>
      </c>
      <c r="B32" s="113"/>
      <c r="C32" s="98"/>
      <c r="D32" s="98"/>
      <c r="E32" s="41"/>
      <c r="F32" s="113"/>
      <c r="G32" s="98"/>
      <c r="H32" s="23"/>
      <c r="I32" s="41"/>
      <c r="J32" s="113"/>
      <c r="K32" s="23"/>
      <c r="L32" s="23"/>
      <c r="M32" s="41"/>
      <c r="N32" s="113"/>
      <c r="O32" s="98"/>
      <c r="P32" s="98"/>
      <c r="Q32" s="41"/>
      <c r="R32" s="113"/>
      <c r="S32" s="98"/>
      <c r="T32" s="98"/>
      <c r="U32" s="41"/>
    </row>
    <row r="33" spans="1:21">
      <c r="A33" s="124" t="s">
        <v>25</v>
      </c>
      <c r="B33" s="113"/>
      <c r="C33" s="98"/>
      <c r="D33" s="98"/>
      <c r="E33" s="41"/>
      <c r="F33" s="113"/>
      <c r="G33" s="98"/>
      <c r="H33" s="23"/>
      <c r="I33" s="41"/>
      <c r="J33" s="113"/>
      <c r="K33" s="23"/>
      <c r="L33" s="23"/>
      <c r="M33" s="41"/>
      <c r="N33" s="113"/>
      <c r="O33" s="98"/>
      <c r="P33" s="98"/>
      <c r="Q33" s="41"/>
      <c r="R33" s="113"/>
      <c r="S33" s="98"/>
      <c r="T33" s="98"/>
      <c r="U33" s="41"/>
    </row>
    <row r="34" spans="1:21">
      <c r="A34" s="124" t="s">
        <v>111</v>
      </c>
      <c r="B34" s="113"/>
      <c r="C34" s="98"/>
      <c r="D34" s="98"/>
      <c r="E34" s="41"/>
      <c r="F34" s="113"/>
      <c r="G34" s="98"/>
      <c r="H34" s="23"/>
      <c r="I34" s="41"/>
      <c r="J34" s="109"/>
      <c r="K34" s="23"/>
      <c r="L34" s="23"/>
      <c r="M34" s="41"/>
      <c r="N34" s="113"/>
      <c r="O34" s="98"/>
      <c r="P34" s="98"/>
      <c r="Q34" s="24"/>
      <c r="R34" s="113"/>
      <c r="S34" s="98"/>
      <c r="T34" s="98"/>
      <c r="U34" s="41"/>
    </row>
    <row r="35" spans="1:21">
      <c r="A35" s="124" t="s">
        <v>112</v>
      </c>
      <c r="B35" s="113"/>
      <c r="C35" s="98"/>
      <c r="D35" s="23"/>
      <c r="E35" s="41"/>
      <c r="F35" s="113"/>
      <c r="G35" s="98"/>
      <c r="H35" s="23"/>
      <c r="I35" s="41"/>
      <c r="J35" s="109"/>
      <c r="K35" s="23"/>
      <c r="L35" s="23"/>
      <c r="M35" s="41"/>
      <c r="N35" s="113"/>
      <c r="O35" s="98"/>
      <c r="P35" s="23"/>
      <c r="Q35" s="14"/>
      <c r="R35" s="113"/>
      <c r="S35" s="98"/>
      <c r="T35" s="98"/>
      <c r="U35" s="41"/>
    </row>
    <row r="36" spans="1:21">
      <c r="A36" s="124" t="s">
        <v>26</v>
      </c>
      <c r="B36" s="113"/>
      <c r="C36" s="98"/>
      <c r="D36" s="23"/>
      <c r="E36" s="41"/>
      <c r="F36" s="113"/>
      <c r="G36" s="98"/>
      <c r="H36" s="23"/>
      <c r="I36" s="41"/>
      <c r="J36" s="109"/>
      <c r="K36" s="23"/>
      <c r="L36" s="23"/>
      <c r="M36" s="41"/>
      <c r="N36" s="113"/>
      <c r="O36" s="98"/>
      <c r="P36" s="23"/>
      <c r="Q36" s="14"/>
      <c r="R36" s="113"/>
      <c r="S36" s="98"/>
      <c r="T36" s="98"/>
      <c r="U36" s="41"/>
    </row>
    <row r="37" spans="1:21">
      <c r="A37" s="124" t="s">
        <v>27</v>
      </c>
      <c r="B37" s="113"/>
      <c r="C37" s="98"/>
      <c r="D37" s="13"/>
      <c r="E37" s="14"/>
      <c r="F37" s="113"/>
      <c r="G37" s="98"/>
      <c r="H37" s="13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98"/>
      <c r="T37" s="98"/>
      <c r="U37" s="41"/>
    </row>
    <row r="38" spans="1:21" ht="13.5" thickBot="1">
      <c r="A38" s="179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5"/>
      <c r="O38" s="206"/>
      <c r="P38" s="28"/>
      <c r="Q38" s="80"/>
      <c r="R38" s="205"/>
      <c r="S38" s="206"/>
      <c r="T38" s="28"/>
      <c r="U38" s="80"/>
    </row>
    <row r="39" spans="1:21">
      <c r="A39" s="121"/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420"/>
    </row>
    <row r="40" spans="1:21">
      <c r="A40" s="29" t="s">
        <v>307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76"/>
    </row>
    <row r="41" spans="1:21">
      <c r="A41" s="29"/>
      <c r="B41" s="439" t="s">
        <v>442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76"/>
    </row>
    <row r="42" spans="1:21" ht="13.5" thickBot="1">
      <c r="A42" s="15"/>
      <c r="B42" s="438" t="s">
        <v>306</v>
      </c>
      <c r="C42" s="428"/>
      <c r="D42" s="428"/>
      <c r="E42" s="428"/>
      <c r="F42" s="430"/>
      <c r="G42" s="430"/>
      <c r="H42" s="430"/>
      <c r="I42" s="430"/>
      <c r="J42" s="428"/>
      <c r="K42" s="428"/>
      <c r="L42" s="428"/>
      <c r="M42" s="428"/>
      <c r="N42" s="428"/>
      <c r="O42" s="428"/>
      <c r="P42" s="428"/>
      <c r="Q42" s="428"/>
      <c r="R42" s="428"/>
      <c r="S42" s="428"/>
      <c r="T42" s="428"/>
      <c r="U42" s="431"/>
    </row>
    <row r="43" spans="1:21">
      <c r="B43" s="399"/>
      <c r="C43" s="399"/>
      <c r="D43" s="399"/>
      <c r="E43" s="399"/>
      <c r="F43" s="336"/>
      <c r="G43" s="336"/>
      <c r="H43" s="336"/>
      <c r="I43" s="336"/>
      <c r="J43" s="399"/>
      <c r="K43" s="399"/>
      <c r="L43" s="399"/>
      <c r="M43" s="399"/>
      <c r="N43" s="399"/>
      <c r="O43" s="399"/>
      <c r="P43" s="399"/>
      <c r="Q43" s="399"/>
      <c r="R43" s="399"/>
      <c r="S43" s="399"/>
      <c r="T43" s="399"/>
      <c r="U43" s="399"/>
    </row>
    <row r="44" spans="1:21">
      <c r="B44" s="399"/>
      <c r="C44" s="399"/>
      <c r="D44" s="399"/>
      <c r="E44" s="399"/>
      <c r="F44" s="336"/>
      <c r="G44" s="336"/>
      <c r="H44" s="336"/>
      <c r="I44" s="336"/>
      <c r="J44" s="399"/>
      <c r="K44" s="399"/>
      <c r="L44" s="399"/>
      <c r="M44" s="399"/>
      <c r="N44" s="399"/>
      <c r="O44" s="399"/>
      <c r="P44" s="399"/>
      <c r="Q44" s="399"/>
      <c r="R44" s="399"/>
      <c r="S44" s="399"/>
      <c r="T44" s="399"/>
      <c r="U44" s="399"/>
    </row>
    <row r="45" spans="1:21">
      <c r="B45" s="399"/>
      <c r="C45" s="399"/>
      <c r="D45" s="399"/>
      <c r="E45" s="399"/>
      <c r="F45" s="336"/>
      <c r="G45" s="336"/>
      <c r="H45" s="336"/>
      <c r="I45" s="336"/>
      <c r="J45" s="399"/>
      <c r="K45" s="399"/>
      <c r="L45" s="399"/>
      <c r="M45" s="399"/>
      <c r="N45" s="399"/>
      <c r="O45" s="399"/>
      <c r="P45" s="399"/>
      <c r="Q45" s="399"/>
      <c r="R45" s="399"/>
      <c r="S45" s="399"/>
      <c r="T45" s="399"/>
      <c r="U45" s="399"/>
    </row>
    <row r="46" spans="1:21">
      <c r="B46" s="399"/>
      <c r="C46" s="399"/>
      <c r="D46" s="399"/>
      <c r="E46" s="399"/>
      <c r="F46" s="336"/>
      <c r="G46" s="336"/>
      <c r="H46" s="336"/>
      <c r="I46" s="336"/>
      <c r="J46" s="399"/>
      <c r="K46" s="399"/>
      <c r="L46" s="399"/>
      <c r="M46" s="399"/>
      <c r="N46" s="399"/>
      <c r="O46" s="399"/>
      <c r="P46" s="399"/>
      <c r="Q46" s="399"/>
      <c r="R46" s="399"/>
      <c r="S46" s="399"/>
      <c r="T46" s="399"/>
      <c r="U46" s="399"/>
    </row>
    <row r="47" spans="1:21">
      <c r="B47" s="399"/>
      <c r="C47" s="399"/>
      <c r="D47" s="399"/>
      <c r="E47" s="399"/>
      <c r="F47" s="336"/>
      <c r="G47" s="336"/>
      <c r="H47" s="336"/>
      <c r="I47" s="336"/>
      <c r="J47" s="399"/>
      <c r="K47" s="399"/>
      <c r="L47" s="399"/>
      <c r="M47" s="399"/>
      <c r="N47" s="399"/>
      <c r="O47" s="399"/>
      <c r="P47" s="399"/>
      <c r="Q47" s="399"/>
      <c r="R47" s="399"/>
      <c r="S47" s="399"/>
      <c r="T47" s="399"/>
      <c r="U47" s="399"/>
    </row>
    <row r="48" spans="1:21">
      <c r="B48" s="399"/>
      <c r="C48" s="399"/>
      <c r="D48" s="399"/>
      <c r="E48" s="399"/>
      <c r="F48" s="336"/>
      <c r="G48" s="336"/>
      <c r="H48" s="336"/>
      <c r="I48" s="336"/>
      <c r="J48" s="399"/>
      <c r="K48" s="399"/>
      <c r="L48" s="399"/>
      <c r="M48" s="399"/>
      <c r="N48" s="399"/>
      <c r="O48" s="399"/>
      <c r="P48" s="399"/>
      <c r="Q48" s="399"/>
      <c r="R48" s="399"/>
      <c r="S48" s="399"/>
      <c r="T48" s="399"/>
      <c r="U48" s="399"/>
    </row>
    <row r="49" spans="2:21">
      <c r="B49" s="399"/>
      <c r="C49" s="399"/>
      <c r="D49" s="399"/>
      <c r="E49" s="399"/>
      <c r="F49" s="336"/>
      <c r="G49" s="336"/>
      <c r="H49" s="336"/>
      <c r="I49" s="336"/>
      <c r="J49" s="399"/>
      <c r="K49" s="399"/>
      <c r="L49" s="399"/>
      <c r="M49" s="399"/>
      <c r="N49" s="399"/>
      <c r="O49" s="399"/>
      <c r="P49" s="399"/>
      <c r="Q49" s="399"/>
      <c r="R49" s="399"/>
      <c r="S49" s="399"/>
      <c r="T49" s="399"/>
      <c r="U49" s="399"/>
    </row>
    <row r="50" spans="2:21">
      <c r="B50" s="399"/>
      <c r="C50" s="399"/>
      <c r="D50" s="399"/>
      <c r="E50" s="399"/>
      <c r="F50" s="336"/>
      <c r="G50" s="336"/>
      <c r="H50" s="336"/>
      <c r="I50" s="336"/>
      <c r="J50" s="399"/>
      <c r="K50" s="399"/>
      <c r="L50" s="399"/>
      <c r="M50" s="399"/>
      <c r="N50" s="399"/>
      <c r="O50" s="399"/>
      <c r="P50" s="399"/>
      <c r="Q50" s="399"/>
      <c r="R50" s="399"/>
      <c r="S50" s="399"/>
      <c r="T50" s="399"/>
      <c r="U50" s="399"/>
    </row>
    <row r="51" spans="2:21">
      <c r="F51" s="336"/>
      <c r="G51" s="336"/>
      <c r="H51" s="336"/>
      <c r="I51" s="336"/>
      <c r="J51" s="399"/>
      <c r="K51" s="399"/>
      <c r="L51" s="399"/>
      <c r="M51" s="399"/>
      <c r="N51" s="399"/>
      <c r="O51" s="399"/>
      <c r="P51" s="399"/>
      <c r="Q51" s="399"/>
      <c r="R51" s="399"/>
      <c r="S51" s="399"/>
      <c r="T51" s="399"/>
      <c r="U51" s="399"/>
    </row>
    <row r="52" spans="2:21">
      <c r="F52" s="336"/>
      <c r="G52" s="336"/>
      <c r="H52" s="336"/>
      <c r="I52" s="336"/>
      <c r="J52" s="399"/>
      <c r="K52" s="399"/>
      <c r="L52" s="399"/>
      <c r="M52" s="399"/>
      <c r="N52" s="399"/>
      <c r="O52" s="399"/>
      <c r="P52" s="399"/>
      <c r="Q52" s="399"/>
      <c r="R52" s="399"/>
      <c r="S52" s="399"/>
      <c r="T52" s="399"/>
      <c r="U52" s="399"/>
    </row>
    <row r="53" spans="2:21">
      <c r="J53" s="399"/>
      <c r="K53" s="399"/>
      <c r="L53" s="399"/>
      <c r="M53" s="399"/>
      <c r="N53" s="399"/>
      <c r="O53" s="399"/>
      <c r="P53" s="399"/>
      <c r="Q53" s="399"/>
      <c r="R53" s="399"/>
      <c r="S53" s="399"/>
      <c r="T53" s="399"/>
      <c r="U53" s="399"/>
    </row>
    <row r="54" spans="2:21">
      <c r="J54" s="399"/>
      <c r="K54" s="399"/>
      <c r="L54" s="399"/>
      <c r="M54" s="399"/>
      <c r="N54" s="399"/>
      <c r="O54" s="399"/>
      <c r="P54" s="399"/>
      <c r="Q54" s="399"/>
      <c r="R54" s="399"/>
      <c r="S54" s="399"/>
      <c r="T54" s="399"/>
      <c r="U54" s="399"/>
    </row>
    <row r="55" spans="2:21">
      <c r="J55" s="399"/>
      <c r="K55" s="399"/>
      <c r="L55" s="399"/>
      <c r="M55" s="399"/>
      <c r="N55" s="399"/>
      <c r="O55" s="399"/>
      <c r="P55" s="399"/>
      <c r="Q55" s="399"/>
      <c r="R55" s="399"/>
      <c r="S55" s="399"/>
      <c r="T55" s="399"/>
      <c r="U55" s="399"/>
    </row>
    <row r="56" spans="2:21">
      <c r="J56" s="399"/>
      <c r="K56" s="399"/>
      <c r="L56" s="399"/>
      <c r="M56" s="399"/>
      <c r="N56" s="399"/>
      <c r="O56" s="399"/>
      <c r="P56" s="399"/>
      <c r="Q56" s="399"/>
      <c r="R56" s="399"/>
      <c r="S56" s="399"/>
      <c r="T56" s="399"/>
      <c r="U56" s="399"/>
    </row>
    <row r="57" spans="2:21">
      <c r="J57" s="399"/>
      <c r="K57" s="399"/>
      <c r="L57" s="399"/>
      <c r="M57" s="399"/>
      <c r="N57" s="399"/>
      <c r="O57" s="399"/>
      <c r="P57" s="399"/>
      <c r="Q57" s="399"/>
      <c r="R57" s="399"/>
      <c r="S57" s="399"/>
      <c r="T57" s="399"/>
      <c r="U57" s="399"/>
    </row>
    <row r="58" spans="2:21">
      <c r="J58" s="399"/>
      <c r="K58" s="399"/>
      <c r="L58" s="399"/>
      <c r="M58" s="399"/>
      <c r="N58" s="399"/>
      <c r="O58" s="399"/>
      <c r="P58" s="399"/>
      <c r="Q58" s="399"/>
      <c r="R58" s="399"/>
      <c r="S58" s="399"/>
      <c r="T58" s="399"/>
      <c r="U58" s="399"/>
    </row>
    <row r="59" spans="2:21">
      <c r="J59" s="399"/>
      <c r="K59" s="399"/>
      <c r="L59" s="399"/>
      <c r="M59" s="399"/>
      <c r="N59" s="399"/>
      <c r="O59" s="399"/>
      <c r="P59" s="399"/>
      <c r="Q59" s="399"/>
      <c r="R59" s="399"/>
      <c r="S59" s="399"/>
      <c r="T59" s="399"/>
      <c r="U59" s="399"/>
    </row>
    <row r="60" spans="2:21">
      <c r="J60" s="399"/>
      <c r="K60" s="399"/>
      <c r="L60" s="399"/>
      <c r="M60" s="399"/>
      <c r="N60" s="399"/>
      <c r="O60" s="399"/>
      <c r="P60" s="399"/>
      <c r="Q60" s="399"/>
      <c r="R60" s="399"/>
      <c r="S60" s="399"/>
      <c r="T60" s="399"/>
      <c r="U60" s="399"/>
    </row>
    <row r="61" spans="2:21">
      <c r="J61" s="399"/>
      <c r="K61" s="399"/>
      <c r="L61" s="399"/>
      <c r="M61" s="399"/>
      <c r="N61" s="399"/>
      <c r="O61" s="399"/>
      <c r="P61" s="399"/>
      <c r="Q61" s="399"/>
      <c r="R61" s="399"/>
      <c r="S61" s="399"/>
      <c r="T61" s="399"/>
      <c r="U61" s="399"/>
    </row>
    <row r="62" spans="2:21">
      <c r="J62" s="399"/>
      <c r="K62" s="399"/>
      <c r="L62" s="399"/>
      <c r="M62" s="399"/>
      <c r="N62" s="399"/>
      <c r="O62" s="399"/>
      <c r="P62" s="399"/>
      <c r="Q62" s="399"/>
      <c r="R62" s="399"/>
      <c r="S62" s="399"/>
      <c r="T62" s="399"/>
      <c r="U62" s="399"/>
    </row>
    <row r="63" spans="2:21">
      <c r="J63" s="399"/>
      <c r="K63" s="399"/>
      <c r="L63" s="399"/>
      <c r="M63" s="399"/>
      <c r="N63" s="399"/>
      <c r="O63" s="399"/>
      <c r="P63" s="399"/>
      <c r="Q63" s="399"/>
      <c r="R63" s="399"/>
      <c r="S63" s="399"/>
      <c r="T63" s="399"/>
      <c r="U63" s="399"/>
    </row>
    <row r="64" spans="2:21">
      <c r="N64" s="399"/>
      <c r="O64" s="399"/>
      <c r="P64" s="399"/>
      <c r="Q64" s="399"/>
      <c r="R64" s="399"/>
      <c r="S64" s="399"/>
      <c r="T64" s="399"/>
      <c r="U64" s="399"/>
    </row>
    <row r="65" spans="17:17">
      <c r="Q65" s="398"/>
    </row>
    <row r="66" spans="17:17">
      <c r="Q66" s="398"/>
    </row>
    <row r="67" spans="17:17">
      <c r="Q67" s="398"/>
    </row>
  </sheetData>
  <mergeCells count="8">
    <mergeCell ref="A1:Q1"/>
    <mergeCell ref="B2:Q2"/>
    <mergeCell ref="R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0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52</vt:i4>
      </vt:variant>
      <vt:variant>
        <vt:lpstr>Named Ranges</vt:lpstr>
      </vt:variant>
      <vt:variant>
        <vt:i4>66</vt:i4>
      </vt:variant>
    </vt:vector>
  </HeadingPairs>
  <TitlesOfParts>
    <vt:vector size="118" baseType="lpstr">
      <vt:lpstr>Tab Descriptions</vt:lpstr>
      <vt:lpstr>Marg Cust Cost Summary</vt:lpstr>
      <vt:lpstr>Marg Cust Cost by Rate Schedule</vt:lpstr>
      <vt:lpstr>Inputs</vt:lpstr>
      <vt:lpstr>School Class TSM Summary </vt:lpstr>
      <vt:lpstr>School Class Cust Cost Summary</vt:lpstr>
      <vt:lpstr>Resid Cust Fcst </vt:lpstr>
      <vt:lpstr>Resid TSM UC</vt:lpstr>
      <vt:lpstr>Resid TSM UC Adj</vt:lpstr>
      <vt:lpstr>Resid TSM Summary</vt:lpstr>
      <vt:lpstr>Resid TSM Sum by Rate Schedule</vt:lpstr>
      <vt:lpstr>Resid Cust Cost Summary</vt:lpstr>
      <vt:lpstr>Sch DR TSM</vt:lpstr>
      <vt:lpstr>Sm Comm Cust Fcst</vt:lpstr>
      <vt:lpstr>Small Comm TSM Summary</vt:lpstr>
      <vt:lpstr>Small Comm Cust Cost Summary</vt:lpstr>
      <vt:lpstr>Sch TOU-A TSM</vt:lpstr>
      <vt:lpstr>Sch TOU-A TSM Summary</vt:lpstr>
      <vt:lpstr>Sch TOU-A Cust Cost Summary</vt:lpstr>
      <vt:lpstr>Sch A-TOU TSM</vt:lpstr>
      <vt:lpstr>Sch A-TOU TSM Summary</vt:lpstr>
      <vt:lpstr>Sch A-TOU Cust Cost Summary</vt:lpstr>
      <vt:lpstr>M-L C&amp;I TSM Summary</vt:lpstr>
      <vt:lpstr>M-L C&amp;I Cust Cost Summary </vt:lpstr>
      <vt:lpstr>Sch OL-TOU Cust Fcst</vt:lpstr>
      <vt:lpstr>Sch OL-TOU TSM</vt:lpstr>
      <vt:lpstr>Sch OL-TOU TSM Summary</vt:lpstr>
      <vt:lpstr>Sch OL-TOU Cust Cost Summary</vt:lpstr>
      <vt:lpstr>Sch AL-TOU Cust Fcst</vt:lpstr>
      <vt:lpstr>Sch AL-TOU TSM</vt:lpstr>
      <vt:lpstr>Sch AL-TOU TSM Summary</vt:lpstr>
      <vt:lpstr>Sch AL-TOU Cust Cost Summary</vt:lpstr>
      <vt:lpstr>Sch DG-R Cust Fcst</vt:lpstr>
      <vt:lpstr>Sch DG-R TSM</vt:lpstr>
      <vt:lpstr>Sch DG-R TSM Summary</vt:lpstr>
      <vt:lpstr>Sch DG-R Cust Cost Summary</vt:lpstr>
      <vt:lpstr>Sch A6-TOU Cust Fcst </vt:lpstr>
      <vt:lpstr>Sch A6-TOU TSM</vt:lpstr>
      <vt:lpstr>Sch A6-TOU TSM Summary</vt:lpstr>
      <vt:lpstr>Sch A6-TOU Cust Cost Summary</vt:lpstr>
      <vt:lpstr>Agric TSM Summary</vt:lpstr>
      <vt:lpstr>Agric Cust Cost Summary</vt:lpstr>
      <vt:lpstr>Sch TOU-PA Cust Fcst</vt:lpstr>
      <vt:lpstr>Sch TOU-PA TSM</vt:lpstr>
      <vt:lpstr>Sch TOU-PA TSM Summary</vt:lpstr>
      <vt:lpstr>Sch TOU-PA Cust Cost Summary</vt:lpstr>
      <vt:lpstr>Street Light Cust Cost Summary</vt:lpstr>
      <vt:lpstr>Non-Residential TSM UC</vt:lpstr>
      <vt:lpstr>Non-Residential TSM UC Adj</vt:lpstr>
      <vt:lpstr>Total Customers</vt:lpstr>
      <vt:lpstr>TSM Cap Cost Allocations</vt:lpstr>
      <vt:lpstr>Distribution O&amp;M Allocations</vt:lpstr>
      <vt:lpstr>'Agric Cust Cost Summary'!Print_Area</vt:lpstr>
      <vt:lpstr>'Agric TSM Summary'!Print_Area</vt:lpstr>
      <vt:lpstr>'Distribution O&amp;M Allocations'!Print_Area</vt:lpstr>
      <vt:lpstr>'Marg Cust Cost by Rate Schedule'!Print_Area</vt:lpstr>
      <vt:lpstr>'Marg Cust Cost Summary'!Print_Area</vt:lpstr>
      <vt:lpstr>'M-L C&amp;I Cust Cost Summary '!Print_Area</vt:lpstr>
      <vt:lpstr>'M-L C&amp;I TSM Summary'!Print_Area</vt:lpstr>
      <vt:lpstr>'Non-Residential TSM UC'!Print_Area</vt:lpstr>
      <vt:lpstr>'Non-Residential TSM UC Adj'!Print_Area</vt:lpstr>
      <vt:lpstr>'Resid Cust Cost Summary'!Print_Area</vt:lpstr>
      <vt:lpstr>'Resid Cust Fcst '!Print_Area</vt:lpstr>
      <vt:lpstr>'Resid TSM Sum by Rate Schedule'!Print_Area</vt:lpstr>
      <vt:lpstr>'Resid TSM Summary'!Print_Area</vt:lpstr>
      <vt:lpstr>'Resid TSM UC'!Print_Area</vt:lpstr>
      <vt:lpstr>'Resid TSM UC Adj'!Print_Area</vt:lpstr>
      <vt:lpstr>'Sch A6-TOU Cust Cost Summary'!Print_Area</vt:lpstr>
      <vt:lpstr>'Sch A6-TOU Cust Fcst '!Print_Area</vt:lpstr>
      <vt:lpstr>'Sch A6-TOU TSM'!Print_Area</vt:lpstr>
      <vt:lpstr>'Sch A6-TOU TSM Summary'!Print_Area</vt:lpstr>
      <vt:lpstr>'Sch AL-TOU Cust Cost Summary'!Print_Area</vt:lpstr>
      <vt:lpstr>'Sch AL-TOU Cust Fcst'!Print_Area</vt:lpstr>
      <vt:lpstr>'Sch AL-TOU TSM'!Print_Area</vt:lpstr>
      <vt:lpstr>'Sch AL-TOU TSM Summary'!Print_Area</vt:lpstr>
      <vt:lpstr>'Sch A-TOU Cust Cost Summary'!Print_Area</vt:lpstr>
      <vt:lpstr>'Sch A-TOU TSM'!Print_Area</vt:lpstr>
      <vt:lpstr>'Sch A-TOU TSM Summary'!Print_Area</vt:lpstr>
      <vt:lpstr>'Sch DG-R Cust Cost Summary'!Print_Area</vt:lpstr>
      <vt:lpstr>'Sch DG-R Cust Fcst'!Print_Area</vt:lpstr>
      <vt:lpstr>'Sch DG-R TSM'!Print_Area</vt:lpstr>
      <vt:lpstr>'Sch DG-R TSM Summary'!Print_Area</vt:lpstr>
      <vt:lpstr>'Sch DR TSM'!Print_Area</vt:lpstr>
      <vt:lpstr>'Sch OL-TOU Cust Cost Summary'!Print_Area</vt:lpstr>
      <vt:lpstr>'Sch OL-TOU Cust Fcst'!Print_Area</vt:lpstr>
      <vt:lpstr>'Sch OL-TOU TSM'!Print_Area</vt:lpstr>
      <vt:lpstr>'Sch OL-TOU TSM Summary'!Print_Area</vt:lpstr>
      <vt:lpstr>'Sch TOU-A Cust Cost Summary'!Print_Area</vt:lpstr>
      <vt:lpstr>'Sch TOU-A TSM'!Print_Area</vt:lpstr>
      <vt:lpstr>'Sch TOU-A TSM Summary'!Print_Area</vt:lpstr>
      <vt:lpstr>'Sch TOU-PA Cust Cost Summary'!Print_Area</vt:lpstr>
      <vt:lpstr>'Sch TOU-PA Cust Fcst'!Print_Area</vt:lpstr>
      <vt:lpstr>'Sch TOU-PA TSM'!Print_Area</vt:lpstr>
      <vt:lpstr>'Sch TOU-PA TSM Summary'!Print_Area</vt:lpstr>
      <vt:lpstr>'School Class Cust Cost Summary'!Print_Area</vt:lpstr>
      <vt:lpstr>'School Class TSM Summary '!Print_Area</vt:lpstr>
      <vt:lpstr>'Sm Comm Cust Fcst'!Print_Area</vt:lpstr>
      <vt:lpstr>'Small Comm Cust Cost Summary'!Print_Area</vt:lpstr>
      <vt:lpstr>'Small Comm TSM Summary'!Print_Area</vt:lpstr>
      <vt:lpstr>'Street Light Cust Cost Summary'!Print_Area</vt:lpstr>
      <vt:lpstr>'Tab Descriptions'!Print_Area</vt:lpstr>
      <vt:lpstr>'Total Customers'!Print_Area</vt:lpstr>
      <vt:lpstr>'TSM Cap Cost Allocations'!Print_Area</vt:lpstr>
      <vt:lpstr>'Distribution O&amp;M Allocations'!Print_Titles</vt:lpstr>
      <vt:lpstr>'M-L C&amp;I Cust Cost Summary '!Print_Titles</vt:lpstr>
      <vt:lpstr>'M-L C&amp;I TSM Summary'!Print_Titles</vt:lpstr>
      <vt:lpstr>'Non-Residential TSM UC'!Print_Titles</vt:lpstr>
      <vt:lpstr>'Non-Residential TSM UC Adj'!Print_Titles</vt:lpstr>
      <vt:lpstr>'Resid Cust Fcst '!Print_Titles</vt:lpstr>
      <vt:lpstr>'Resid TSM UC'!Print_Titles</vt:lpstr>
      <vt:lpstr>'Resid TSM UC Adj'!Print_Titles</vt:lpstr>
      <vt:lpstr>'Sch AL-TOU Cust Cost Summary'!Print_Titles</vt:lpstr>
      <vt:lpstr>'Sch AL-TOU TSM'!Print_Titles</vt:lpstr>
      <vt:lpstr>'Sch DG-R TSM'!Print_Titles</vt:lpstr>
      <vt:lpstr>'Sch DR TSM'!Print_Titles</vt:lpstr>
      <vt:lpstr>'Sch TOU-A TSM'!Print_Titles</vt:lpstr>
      <vt:lpstr>'Sm Comm Cust Fcst'!Print_Titles</vt:lpstr>
      <vt:lpstr>'Total Customers'!Print_Titles</vt:lpstr>
    </vt:vector>
  </TitlesOfParts>
  <Manager>Bob Hansen</Manager>
  <Company>SDG&amp;E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Electric Custmer LRMC Model</dc:title>
  <dc:subject>TY 08 GRC Phase 2</dc:subject>
  <dc:creator>Jim Parsons</dc:creator>
  <cp:lastModifiedBy>Saxe, William</cp:lastModifiedBy>
  <cp:lastPrinted>2015-12-10T22:22:54Z</cp:lastPrinted>
  <dcterms:created xsi:type="dcterms:W3CDTF">2003-01-17T18:48:38Z</dcterms:created>
  <dcterms:modified xsi:type="dcterms:W3CDTF">2020-03-11T16:00:40Z</dcterms:modified>
</cp:coreProperties>
</file>